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520" windowHeight="6795" activeTab="8"/>
  </bookViews>
  <sheets>
    <sheet name="BE" sheetId="1" r:id="rId1"/>
    <sheet name="LapseUp_0" sheetId="2" r:id="rId2"/>
    <sheet name="LapseDown_0" sheetId="35" r:id="rId3"/>
    <sheet name="LapseMass_0" sheetId="36" r:id="rId4"/>
    <sheet name="Mort_0" sheetId="12" r:id="rId5"/>
    <sheet name="Long_0" sheetId="13" r:id="rId6"/>
    <sheet name="Cat_0" sheetId="14" r:id="rId7"/>
    <sheet name="Expense_0" sheetId="32" r:id="rId8"/>
    <sheet name="SCR" sheetId="33" r:id="rId9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36"/>
  <c r="O30" i="32"/>
  <c r="O30" i="14"/>
  <c r="O30" i="13"/>
  <c r="O30" i="12"/>
  <c r="O30" i="35"/>
  <c r="O31" i="2"/>
  <c r="O30"/>
  <c r="O31" i="1"/>
  <c r="O30"/>
  <c r="M30" i="36" l="1"/>
  <c r="E21" i="32"/>
  <c r="E20"/>
  <c r="R35"/>
  <c r="R34"/>
  <c r="R33"/>
  <c r="R32"/>
  <c r="R31"/>
  <c r="R30"/>
  <c r="M30"/>
  <c r="K30"/>
  <c r="N30" s="1"/>
  <c r="J30"/>
  <c r="I31" s="1"/>
  <c r="J31" s="1"/>
  <c r="O31" s="1"/>
  <c r="E30"/>
  <c r="E31" s="1"/>
  <c r="D30"/>
  <c r="C30"/>
  <c r="P30" s="1"/>
  <c r="B30" i="14"/>
  <c r="R35"/>
  <c r="R34"/>
  <c r="R33"/>
  <c r="R32"/>
  <c r="R31"/>
  <c r="R30"/>
  <c r="M30"/>
  <c r="K30"/>
  <c r="N30" s="1"/>
  <c r="J30"/>
  <c r="I31" s="1"/>
  <c r="J31" s="1"/>
  <c r="O31" s="1"/>
  <c r="E30"/>
  <c r="D30"/>
  <c r="C30"/>
  <c r="P30" s="1"/>
  <c r="B34" i="13"/>
  <c r="B33"/>
  <c r="B32"/>
  <c r="B31"/>
  <c r="B30"/>
  <c r="R35"/>
  <c r="R34"/>
  <c r="R33"/>
  <c r="R32"/>
  <c r="R31"/>
  <c r="R30"/>
  <c r="K30"/>
  <c r="J30"/>
  <c r="I31" s="1"/>
  <c r="J31" s="1"/>
  <c r="O31" s="1"/>
  <c r="E30"/>
  <c r="D30"/>
  <c r="C30"/>
  <c r="P30" s="1"/>
  <c r="B34" i="12"/>
  <c r="B33"/>
  <c r="B32"/>
  <c r="B31"/>
  <c r="B30"/>
  <c r="R35"/>
  <c r="R34"/>
  <c r="R33"/>
  <c r="R32"/>
  <c r="R31"/>
  <c r="R30"/>
  <c r="K30"/>
  <c r="J30"/>
  <c r="I31" s="1"/>
  <c r="J31" s="1"/>
  <c r="O31" s="1"/>
  <c r="E30"/>
  <c r="D30" s="1"/>
  <c r="D30" i="36"/>
  <c r="R35"/>
  <c r="R34"/>
  <c r="R33"/>
  <c r="R32"/>
  <c r="R31"/>
  <c r="R30"/>
  <c r="K30"/>
  <c r="N30" s="1"/>
  <c r="J30"/>
  <c r="I31" s="1"/>
  <c r="J31" s="1"/>
  <c r="O31" s="1"/>
  <c r="E30"/>
  <c r="E31" s="1"/>
  <c r="C30"/>
  <c r="P30" s="1"/>
  <c r="E22" i="35"/>
  <c r="D30" s="1"/>
  <c r="R35"/>
  <c r="R34"/>
  <c r="R33"/>
  <c r="R32"/>
  <c r="R31"/>
  <c r="R30"/>
  <c r="J30"/>
  <c r="I31" s="1"/>
  <c r="J31" s="1"/>
  <c r="O31" s="1"/>
  <c r="E30"/>
  <c r="C30"/>
  <c r="E22" i="2"/>
  <c r="R35"/>
  <c r="R34"/>
  <c r="R33"/>
  <c r="R32"/>
  <c r="R31"/>
  <c r="R30"/>
  <c r="M30"/>
  <c r="K30"/>
  <c r="J30"/>
  <c r="I31" s="1"/>
  <c r="J31" s="1"/>
  <c r="E30"/>
  <c r="D30"/>
  <c r="C30"/>
  <c r="Q30" i="1"/>
  <c r="R35"/>
  <c r="R34"/>
  <c r="R33"/>
  <c r="R32"/>
  <c r="R31"/>
  <c r="R30"/>
  <c r="J30"/>
  <c r="I31" s="1"/>
  <c r="J31" s="1"/>
  <c r="Q30" i="32" l="1"/>
  <c r="D31"/>
  <c r="P31" s="1"/>
  <c r="C31"/>
  <c r="E32" s="1"/>
  <c r="K31"/>
  <c r="M31"/>
  <c r="I32"/>
  <c r="J32" s="1"/>
  <c r="O32" s="1"/>
  <c r="E31" i="14"/>
  <c r="Q30"/>
  <c r="D31"/>
  <c r="C31"/>
  <c r="P31" s="1"/>
  <c r="M31"/>
  <c r="K31"/>
  <c r="I32"/>
  <c r="J32" s="1"/>
  <c r="O32" s="1"/>
  <c r="E31" i="13"/>
  <c r="M31"/>
  <c r="I32"/>
  <c r="J32" s="1"/>
  <c r="O32" s="1"/>
  <c r="K31"/>
  <c r="N30"/>
  <c r="Q30" s="1"/>
  <c r="C31"/>
  <c r="D31"/>
  <c r="P31" s="1"/>
  <c r="M30"/>
  <c r="M31" i="12"/>
  <c r="K31"/>
  <c r="I32"/>
  <c r="J32" s="1"/>
  <c r="O32" s="1"/>
  <c r="E31"/>
  <c r="C30"/>
  <c r="P30"/>
  <c r="M30"/>
  <c r="N30" s="1"/>
  <c r="Q30" s="1"/>
  <c r="D31" i="36"/>
  <c r="C31"/>
  <c r="E32" s="1"/>
  <c r="Q30"/>
  <c r="M31"/>
  <c r="I32"/>
  <c r="J32" s="1"/>
  <c r="O32" s="1"/>
  <c r="K31"/>
  <c r="P30" i="35"/>
  <c r="E31"/>
  <c r="D31" s="1"/>
  <c r="P31" s="1"/>
  <c r="C31"/>
  <c r="M31"/>
  <c r="K31"/>
  <c r="I32"/>
  <c r="J32" s="1"/>
  <c r="O32" s="1"/>
  <c r="K30"/>
  <c r="N30" s="1"/>
  <c r="Q30" s="1"/>
  <c r="M30"/>
  <c r="E31" i="2"/>
  <c r="P30"/>
  <c r="N30"/>
  <c r="Q30"/>
  <c r="D31"/>
  <c r="C31"/>
  <c r="E32" s="1"/>
  <c r="M31"/>
  <c r="K31"/>
  <c r="N31" s="1"/>
  <c r="I32"/>
  <c r="J32" s="1"/>
  <c r="O32" s="1"/>
  <c r="M30" i="1"/>
  <c r="M31"/>
  <c r="K31"/>
  <c r="N31" s="1"/>
  <c r="Q31" s="1"/>
  <c r="K30"/>
  <c r="N30" s="1"/>
  <c r="N31" i="14" l="1"/>
  <c r="N31" i="13"/>
  <c r="N31" i="12"/>
  <c r="N31" i="36"/>
  <c r="D32" i="32"/>
  <c r="C32"/>
  <c r="E33"/>
  <c r="P32"/>
  <c r="I33"/>
  <c r="J33" s="1"/>
  <c r="O33" s="1"/>
  <c r="M32"/>
  <c r="K32"/>
  <c r="N31"/>
  <c r="Q31" s="1"/>
  <c r="E32" i="14"/>
  <c r="M32"/>
  <c r="K32"/>
  <c r="I33"/>
  <c r="J33" s="1"/>
  <c r="O33" s="1"/>
  <c r="Q31"/>
  <c r="C32"/>
  <c r="D32"/>
  <c r="P32" s="1"/>
  <c r="E32" i="13"/>
  <c r="C32"/>
  <c r="D32"/>
  <c r="P32" s="1"/>
  <c r="Q31"/>
  <c r="M32"/>
  <c r="I33"/>
  <c r="J33" s="1"/>
  <c r="O33" s="1"/>
  <c r="K32"/>
  <c r="D31" i="12"/>
  <c r="C31"/>
  <c r="E32" s="1"/>
  <c r="K32"/>
  <c r="I33"/>
  <c r="J33" s="1"/>
  <c r="O33" s="1"/>
  <c r="M32"/>
  <c r="D32" i="36"/>
  <c r="C32"/>
  <c r="E33" s="1"/>
  <c r="M32"/>
  <c r="K32"/>
  <c r="I33"/>
  <c r="J33" s="1"/>
  <c r="O33" s="1"/>
  <c r="P31"/>
  <c r="E32" i="35"/>
  <c r="D32"/>
  <c r="C32"/>
  <c r="E33" s="1"/>
  <c r="M32"/>
  <c r="K32"/>
  <c r="I33"/>
  <c r="J33" s="1"/>
  <c r="O33" s="1"/>
  <c r="N31"/>
  <c r="Q31" s="1"/>
  <c r="P31" i="2"/>
  <c r="D32"/>
  <c r="C32"/>
  <c r="E33" s="1"/>
  <c r="M32"/>
  <c r="K32"/>
  <c r="I33"/>
  <c r="J33" s="1"/>
  <c r="O33" s="1"/>
  <c r="Q31"/>
  <c r="Q31" i="36" l="1"/>
  <c r="N32" i="32"/>
  <c r="N32" i="14"/>
  <c r="N32" i="13"/>
  <c r="N32" i="36"/>
  <c r="Q32" i="32"/>
  <c r="D33"/>
  <c r="E34"/>
  <c r="P33"/>
  <c r="C33"/>
  <c r="M33"/>
  <c r="K33"/>
  <c r="I34"/>
  <c r="J34" s="1"/>
  <c r="O34" s="1"/>
  <c r="I34" i="14"/>
  <c r="J34" s="1"/>
  <c r="O34" s="1"/>
  <c r="M33"/>
  <c r="K33"/>
  <c r="N33" s="1"/>
  <c r="E33"/>
  <c r="Q32"/>
  <c r="E33" i="13"/>
  <c r="D33"/>
  <c r="C33"/>
  <c r="E34" s="1"/>
  <c r="Q32"/>
  <c r="M33"/>
  <c r="K33"/>
  <c r="I34"/>
  <c r="J34" s="1"/>
  <c r="O34" s="1"/>
  <c r="P31" i="12"/>
  <c r="Q31" s="1"/>
  <c r="D32"/>
  <c r="C32"/>
  <c r="E33"/>
  <c r="M33"/>
  <c r="K33"/>
  <c r="I34"/>
  <c r="J34" s="1"/>
  <c r="O34" s="1"/>
  <c r="N32"/>
  <c r="P32" i="36"/>
  <c r="C33"/>
  <c r="E34"/>
  <c r="P33"/>
  <c r="D33"/>
  <c r="M33"/>
  <c r="K33"/>
  <c r="I34"/>
  <c r="J34" s="1"/>
  <c r="O34" s="1"/>
  <c r="Q32"/>
  <c r="P32" i="35"/>
  <c r="N32"/>
  <c r="Q32" s="1"/>
  <c r="D33"/>
  <c r="C33"/>
  <c r="E34" s="1"/>
  <c r="M33"/>
  <c r="K33"/>
  <c r="I34"/>
  <c r="J34" s="1"/>
  <c r="O34" s="1"/>
  <c r="P32" i="2"/>
  <c r="N32"/>
  <c r="Q32" s="1"/>
  <c r="D33"/>
  <c r="C33"/>
  <c r="E34" s="1"/>
  <c r="M33"/>
  <c r="K33"/>
  <c r="I34"/>
  <c r="J34" s="1"/>
  <c r="O34" s="1"/>
  <c r="N33" i="32" l="1"/>
  <c r="N33" i="13"/>
  <c r="N33" i="12"/>
  <c r="N33" i="36"/>
  <c r="N33" i="35"/>
  <c r="N33" i="2"/>
  <c r="Q33" i="32"/>
  <c r="C34"/>
  <c r="D34"/>
  <c r="E35" s="1"/>
  <c r="L35"/>
  <c r="Q35" s="1"/>
  <c r="M34"/>
  <c r="K34"/>
  <c r="L35" i="14"/>
  <c r="Q35" s="1"/>
  <c r="M34"/>
  <c r="K34"/>
  <c r="C33"/>
  <c r="E34" s="1"/>
  <c r="D33"/>
  <c r="P33" s="1"/>
  <c r="Q33" s="1"/>
  <c r="P33" i="13"/>
  <c r="C34"/>
  <c r="D34"/>
  <c r="P34" s="1"/>
  <c r="E35"/>
  <c r="M34"/>
  <c r="L35"/>
  <c r="Q35" s="1"/>
  <c r="K34"/>
  <c r="Q33"/>
  <c r="P32" i="12"/>
  <c r="D33"/>
  <c r="C33"/>
  <c r="E34" s="1"/>
  <c r="K34"/>
  <c r="L35"/>
  <c r="Q35" s="1"/>
  <c r="M34"/>
  <c r="Q32"/>
  <c r="M34" i="36"/>
  <c r="K34"/>
  <c r="L35"/>
  <c r="Q35" s="1"/>
  <c r="Q33"/>
  <c r="D34"/>
  <c r="C34"/>
  <c r="P34" s="1"/>
  <c r="P33" i="35"/>
  <c r="D34"/>
  <c r="C34"/>
  <c r="E35" s="1"/>
  <c r="M34"/>
  <c r="K34"/>
  <c r="L35"/>
  <c r="Q35" s="1"/>
  <c r="Q33"/>
  <c r="P33" i="2"/>
  <c r="D34"/>
  <c r="C34"/>
  <c r="E35" s="1"/>
  <c r="Q33"/>
  <c r="M34"/>
  <c r="K34"/>
  <c r="N34" s="1"/>
  <c r="L35"/>
  <c r="Q35" s="1"/>
  <c r="N34" i="32" l="1"/>
  <c r="N34" i="36"/>
  <c r="Q34" s="1"/>
  <c r="S30" s="1"/>
  <c r="P34" i="32"/>
  <c r="Q34" s="1"/>
  <c r="S30" s="1"/>
  <c r="D34" i="14"/>
  <c r="C34"/>
  <c r="E35" s="1"/>
  <c r="N34"/>
  <c r="N34" i="13"/>
  <c r="Q34" s="1"/>
  <c r="S30" s="1"/>
  <c r="P33" i="12"/>
  <c r="Q33" s="1"/>
  <c r="D34"/>
  <c r="C34"/>
  <c r="E35" s="1"/>
  <c r="N34"/>
  <c r="E35" i="36"/>
  <c r="N34" i="35"/>
  <c r="P34"/>
  <c r="S30"/>
  <c r="Q34"/>
  <c r="P34" i="2"/>
  <c r="Q34"/>
  <c r="S30" s="1"/>
  <c r="P34" i="14" l="1"/>
  <c r="Q34" s="1"/>
  <c r="S30" s="1"/>
  <c r="P34" i="12"/>
  <c r="Q34" s="1"/>
  <c r="S30" s="1"/>
  <c r="E30" i="1" l="1"/>
  <c r="D30" l="1"/>
  <c r="C30"/>
  <c r="P30" l="1"/>
  <c r="E31"/>
  <c r="D31" l="1"/>
  <c r="C31"/>
  <c r="P31" s="1"/>
  <c r="E32" l="1"/>
  <c r="D32" l="1"/>
  <c r="C32"/>
  <c r="P32" l="1"/>
  <c r="E33"/>
  <c r="D33" l="1"/>
  <c r="C33"/>
  <c r="P33" l="1"/>
  <c r="E34"/>
  <c r="D34" l="1"/>
  <c r="C34"/>
  <c r="I32"/>
  <c r="P34" l="1"/>
  <c r="J32"/>
  <c r="O32" s="1"/>
  <c r="M32" l="1"/>
  <c r="K32"/>
  <c r="E35"/>
  <c r="N32" l="1"/>
  <c r="Q32" s="1"/>
  <c r="I33"/>
  <c r="J33" s="1"/>
  <c r="O33" s="1"/>
  <c r="M33" l="1"/>
  <c r="K33"/>
  <c r="I34" l="1"/>
  <c r="J34" s="1"/>
  <c r="N33"/>
  <c r="Q33" s="1"/>
  <c r="L35" l="1"/>
  <c r="Q35" s="1"/>
  <c r="O34"/>
  <c r="M34"/>
  <c r="K34"/>
  <c r="N34" l="1"/>
  <c r="Q34" s="1"/>
  <c r="S30" s="1"/>
  <c r="E4" i="33" l="1"/>
  <c r="F4"/>
  <c r="B4"/>
  <c r="C4"/>
  <c r="D4"/>
  <c r="B12" l="1"/>
  <c r="B16"/>
  <c r="B13"/>
  <c r="B15"/>
  <c r="B14"/>
  <c r="D12" l="1"/>
</calcChain>
</file>

<file path=xl/sharedStrings.xml><?xml version="1.0" encoding="utf-8"?>
<sst xmlns="http://schemas.openxmlformats.org/spreadsheetml/2006/main" count="330" uniqueCount="50">
  <si>
    <t>počet pojištěných ve věku 60:</t>
  </si>
  <si>
    <t>modelový pojistný kmen:</t>
  </si>
  <si>
    <t>parametry produktu:</t>
  </si>
  <si>
    <t>podklady pro výpočet nejlepšího odhadu závazku:</t>
  </si>
  <si>
    <t>míra inflace v nákladech (ročně)</t>
  </si>
  <si>
    <t>podíl storen (z přeživších v každém roce)</t>
  </si>
  <si>
    <t>úmrtnostní tabulka [q_x(BE)]</t>
  </si>
  <si>
    <t>x</t>
  </si>
  <si>
    <t>vývoj kmene (BE):</t>
  </si>
  <si>
    <t>q_x(BE)</t>
  </si>
  <si>
    <t>zemřelí</t>
  </si>
  <si>
    <t>storna</t>
  </si>
  <si>
    <t>počet pojištěných</t>
  </si>
  <si>
    <t>n(x)</t>
  </si>
  <si>
    <t>d(x)</t>
  </si>
  <si>
    <t>s(x)</t>
  </si>
  <si>
    <t>odkupné</t>
  </si>
  <si>
    <t>náklady</t>
  </si>
  <si>
    <t>věk</t>
  </si>
  <si>
    <t>čas</t>
  </si>
  <si>
    <t>t</t>
  </si>
  <si>
    <t>diskontní faktory k času 0</t>
  </si>
  <si>
    <t>SCR_mort</t>
  </si>
  <si>
    <t>SCR_long</t>
  </si>
  <si>
    <t>SCR_lapse</t>
  </si>
  <si>
    <t>SCR_exp</t>
  </si>
  <si>
    <t>SCR_cat</t>
  </si>
  <si>
    <t>korelační matice</t>
  </si>
  <si>
    <t>výpočet SCR v čase 0</t>
  </si>
  <si>
    <t>SCR(0)</t>
  </si>
  <si>
    <t>pojištění na dožití s výplatou rezervy v případě smrti:</t>
  </si>
  <si>
    <t>plnění v případě smrti: rezerva</t>
  </si>
  <si>
    <t>plnění při dožití věku 65: rezerva</t>
  </si>
  <si>
    <t>předpoklady:</t>
  </si>
  <si>
    <t>všechny platby vztahujeme k polovině roku</t>
  </si>
  <si>
    <t>náklady na osobu ročně</t>
  </si>
  <si>
    <t xml:space="preserve">garantovaný výnos: </t>
  </si>
  <si>
    <t>podíl z rezervy vyplácený při stornu:</t>
  </si>
  <si>
    <t>vývoj rezervy:</t>
  </si>
  <si>
    <t>rok</t>
  </si>
  <si>
    <t>rezerva na začátku roku</t>
  </si>
  <si>
    <t>rezerva v polovině roku</t>
  </si>
  <si>
    <t>plnění při úmrtí</t>
  </si>
  <si>
    <t>rezerva na konci roku</t>
  </si>
  <si>
    <t>plnění při dožití</t>
  </si>
  <si>
    <t>plnění celkem</t>
  </si>
  <si>
    <t>bezriziková výnosová míra (konstantní)</t>
  </si>
  <si>
    <t>peněžní tok</t>
  </si>
  <si>
    <t>rezerva (BE) k času 0</t>
  </si>
  <si>
    <t>dílčí SCR v čase 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</si>
</sst>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2" borderId="0" xfId="0" applyFill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workbookViewId="0">
      <selection activeCell="K30" sqref="K30"/>
    </sheetView>
  </sheetViews>
  <sheetFormatPr defaultRowHeight="15"/>
  <cols>
    <col min="5" max="5" width="10.140625" customWidth="1"/>
    <col min="9" max="9" width="21.85546875" customWidth="1"/>
    <col min="10" max="10" width="21.140625" customWidth="1"/>
    <col min="11" max="12" width="16.5703125" customWidth="1"/>
    <col min="13" max="13" width="11.7109375" customWidth="1"/>
    <col min="14" max="14" width="13.5703125" customWidth="1"/>
    <col min="15" max="17" width="19.28515625" customWidth="1"/>
    <col min="18" max="18" width="24.85546875" customWidth="1"/>
    <col min="19" max="19" width="18.28515625" customWidth="1"/>
  </cols>
  <sheetData>
    <row r="1" spans="1:5">
      <c r="A1" s="1" t="s">
        <v>30</v>
      </c>
    </row>
    <row r="3" spans="1:5">
      <c r="A3" s="2" t="s">
        <v>1</v>
      </c>
    </row>
    <row r="4" spans="1:5">
      <c r="A4" t="s">
        <v>0</v>
      </c>
      <c r="E4">
        <v>1000</v>
      </c>
    </row>
    <row r="7" spans="1:5">
      <c r="A7" s="2" t="s">
        <v>2</v>
      </c>
    </row>
    <row r="8" spans="1:5">
      <c r="A8" t="s">
        <v>31</v>
      </c>
    </row>
    <row r="9" spans="1:5">
      <c r="A9" t="s">
        <v>32</v>
      </c>
    </row>
    <row r="10" spans="1:5">
      <c r="A10" t="s">
        <v>37</v>
      </c>
      <c r="E10">
        <v>0.98</v>
      </c>
    </row>
    <row r="11" spans="1:5">
      <c r="A11" t="s">
        <v>36</v>
      </c>
      <c r="E11">
        <v>3.5000000000000003E-2</v>
      </c>
    </row>
    <row r="13" spans="1:5">
      <c r="A13" s="2" t="s">
        <v>33</v>
      </c>
    </row>
    <row r="14" spans="1:5">
      <c r="C14" s="2"/>
    </row>
    <row r="15" spans="1:5">
      <c r="A15" t="s">
        <v>34</v>
      </c>
    </row>
    <row r="19" spans="1:19">
      <c r="A19" s="2" t="s">
        <v>3</v>
      </c>
    </row>
    <row r="20" spans="1:19">
      <c r="A20" t="s">
        <v>35</v>
      </c>
      <c r="E20">
        <v>50</v>
      </c>
    </row>
    <row r="21" spans="1:19">
      <c r="A21" t="s">
        <v>4</v>
      </c>
      <c r="E21">
        <v>0.02</v>
      </c>
    </row>
    <row r="22" spans="1:19">
      <c r="A22" t="s">
        <v>5</v>
      </c>
      <c r="E22">
        <v>0.05</v>
      </c>
    </row>
    <row r="23" spans="1:19">
      <c r="A23" t="s">
        <v>46</v>
      </c>
      <c r="E23">
        <v>0.05</v>
      </c>
    </row>
    <row r="24" spans="1:19">
      <c r="A24" t="s">
        <v>6</v>
      </c>
    </row>
    <row r="26" spans="1:19">
      <c r="A26" s="2"/>
      <c r="D26" s="3"/>
    </row>
    <row r="27" spans="1:19">
      <c r="A27" s="2" t="s">
        <v>8</v>
      </c>
      <c r="H27" s="2" t="s">
        <v>38</v>
      </c>
    </row>
    <row r="28" spans="1:19">
      <c r="A28" t="s">
        <v>18</v>
      </c>
      <c r="C28" t="s">
        <v>10</v>
      </c>
      <c r="D28" t="s">
        <v>11</v>
      </c>
      <c r="E28" t="s">
        <v>12</v>
      </c>
      <c r="H28" t="s">
        <v>39</v>
      </c>
      <c r="I28" t="s">
        <v>40</v>
      </c>
      <c r="J28" t="s">
        <v>41</v>
      </c>
      <c r="K28" t="s">
        <v>42</v>
      </c>
      <c r="L28" t="s">
        <v>44</v>
      </c>
      <c r="M28" t="s">
        <v>16</v>
      </c>
      <c r="N28" t="s">
        <v>45</v>
      </c>
      <c r="O28" t="s">
        <v>43</v>
      </c>
      <c r="P28" t="s">
        <v>17</v>
      </c>
      <c r="Q28" t="s">
        <v>47</v>
      </c>
      <c r="R28" t="s">
        <v>21</v>
      </c>
      <c r="S28" t="s">
        <v>48</v>
      </c>
    </row>
    <row r="29" spans="1:19">
      <c r="A29" t="s">
        <v>7</v>
      </c>
      <c r="B29" t="s">
        <v>9</v>
      </c>
      <c r="C29" t="s">
        <v>14</v>
      </c>
      <c r="D29" t="s">
        <v>15</v>
      </c>
      <c r="E29" t="s">
        <v>13</v>
      </c>
      <c r="H29" t="s">
        <v>20</v>
      </c>
    </row>
    <row r="30" spans="1:19">
      <c r="A30">
        <v>60</v>
      </c>
      <c r="B30">
        <v>1.3166000000000001E-2</v>
      </c>
      <c r="C30">
        <f>B30*E30</f>
        <v>13.166</v>
      </c>
      <c r="D30">
        <f>E$22*E30</f>
        <v>50</v>
      </c>
      <c r="E30">
        <f>E4</f>
        <v>1000</v>
      </c>
      <c r="H30">
        <v>1</v>
      </c>
      <c r="I30">
        <v>7500000</v>
      </c>
      <c r="J30">
        <f>I30*(1+E$11)^0.5</f>
        <v>7630121.2310159262</v>
      </c>
      <c r="K30">
        <f>B30*J30</f>
        <v>100458.17612755569</v>
      </c>
      <c r="L30">
        <v>0</v>
      </c>
      <c r="M30" s="5">
        <f>E$22*J30*0.98</f>
        <v>373875.94031978038</v>
      </c>
      <c r="N30" s="5">
        <f>K30+L30+M30</f>
        <v>474334.11644733604</v>
      </c>
      <c r="O30">
        <f>(1-B30-E$22)*J30*(1+E$11)^0.5</f>
        <v>7272173.9249999989</v>
      </c>
      <c r="P30">
        <f>E$20*(1+E$21)^(H30-1)*(E30-0.5*(D30+C30))</f>
        <v>48420.85</v>
      </c>
      <c r="Q30">
        <f>N30+P30</f>
        <v>522754.96644733602</v>
      </c>
      <c r="R30">
        <f>1/(1+E$23)^(H30-0.5)</f>
        <v>0.97590007294853309</v>
      </c>
      <c r="S30">
        <f>SUMPRODUCT(Q30:Q$35,R30:R$35)</f>
        <v>7221296.8476845957</v>
      </c>
    </row>
    <row r="31" spans="1:19">
      <c r="A31">
        <v>61</v>
      </c>
      <c r="B31">
        <v>1.4564000000000001E-2</v>
      </c>
      <c r="C31">
        <f t="shared" ref="C31:C34" si="0">B31*E31</f>
        <v>13.644050375999999</v>
      </c>
      <c r="D31">
        <f>E$22*E31</f>
        <v>46.841700000000003</v>
      </c>
      <c r="E31">
        <f>E30-C30-D30</f>
        <v>936.83399999999995</v>
      </c>
      <c r="H31">
        <v>2</v>
      </c>
      <c r="I31">
        <f>O30</f>
        <v>7272173.9249999989</v>
      </c>
      <c r="J31">
        <f>I31*(1+E$11)^0.5</f>
        <v>7398342.488104389</v>
      </c>
      <c r="K31">
        <f>B31*J31</f>
        <v>107749.45999675232</v>
      </c>
      <c r="M31" s="5">
        <f>E$22*J31*0.98</f>
        <v>362518.78191711503</v>
      </c>
      <c r="N31" s="5">
        <f>K31+L31+M31</f>
        <v>470268.24191386736</v>
      </c>
      <c r="O31">
        <f t="shared" ref="O31:O34" si="1">(1-B31-E$22)*J31*(1+E$11)^0.5</f>
        <v>7040746.1527760187</v>
      </c>
      <c r="P31">
        <f>E$20*(1+E$21)^(H31-1)*(E31-0.5*(D31+C31))</f>
        <v>46236.147365411998</v>
      </c>
      <c r="Q31">
        <f>N31+P31</f>
        <v>516504.38927927933</v>
      </c>
      <c r="R31">
        <f>1/(1+E$23)^(H31-0.5)</f>
        <v>0.92942864090336497</v>
      </c>
    </row>
    <row r="32" spans="1:19">
      <c r="A32">
        <v>62</v>
      </c>
      <c r="B32">
        <v>1.6015999999999999E-2</v>
      </c>
      <c r="C32">
        <f t="shared" si="0"/>
        <v>14.035593565977981</v>
      </c>
      <c r="D32">
        <f>E$22*E32</f>
        <v>43.817412481199995</v>
      </c>
      <c r="E32">
        <f t="shared" ref="E32:E35" si="2">E31-C31-D31</f>
        <v>876.34824962399989</v>
      </c>
      <c r="H32">
        <v>3</v>
      </c>
      <c r="I32">
        <f>O31</f>
        <v>7040746.1527760187</v>
      </c>
      <c r="J32">
        <f>I32*(1+E$11)^0.5</f>
        <v>7162899.5603320012</v>
      </c>
      <c r="K32">
        <f>B32*J32</f>
        <v>114720.99935827732</v>
      </c>
      <c r="M32" s="5">
        <f>E$22*J32*0.98</f>
        <v>350982.07845626806</v>
      </c>
      <c r="N32" s="5">
        <f>K32+L32+M32</f>
        <v>465703.07781454537</v>
      </c>
      <c r="O32">
        <f t="shared" si="1"/>
        <v>6806102.3036707593</v>
      </c>
      <c r="P32">
        <f>E$20*(1+E$21)^(H32-1)*(E32-0.5*(D32+C32))</f>
        <v>44082.879258153371</v>
      </c>
      <c r="Q32">
        <f>N32+P32</f>
        <v>509785.95707269874</v>
      </c>
      <c r="R32">
        <f>1/(1+E$23)^(H32-0.5)</f>
        <v>0.88517013419368074</v>
      </c>
    </row>
    <row r="33" spans="1:18">
      <c r="A33">
        <v>63</v>
      </c>
      <c r="B33">
        <v>1.7403999999999999E-2</v>
      </c>
      <c r="C33">
        <f t="shared" si="0"/>
        <v>14.245091219211009</v>
      </c>
      <c r="D33">
        <f>E$22*E33</f>
        <v>40.9247621788411</v>
      </c>
      <c r="E33">
        <f t="shared" si="2"/>
        <v>818.49524357682196</v>
      </c>
      <c r="H33">
        <v>4</v>
      </c>
      <c r="I33">
        <f>O32</f>
        <v>6806102.3036707593</v>
      </c>
      <c r="J33">
        <f>I33*(1+E$11)^0.5</f>
        <v>6924184.7583606225</v>
      </c>
      <c r="K33">
        <f>B33*J33</f>
        <v>120508.51153450827</v>
      </c>
      <c r="M33" s="5">
        <f>E$22*J33*0.98</f>
        <v>339285.05315967056</v>
      </c>
      <c r="N33" s="5">
        <f>K33+L33+M33</f>
        <v>459793.56469417881</v>
      </c>
      <c r="O33">
        <f t="shared" si="1"/>
        <v>6569500.8164339298</v>
      </c>
      <c r="P33">
        <f>E$20*(1+E$21)^(H33-1)*(E33-0.5*(D33+C33))</f>
        <v>41966.017777662601</v>
      </c>
      <c r="Q33">
        <f>N33+P33</f>
        <v>501759.58247184142</v>
      </c>
      <c r="R33">
        <f>1/(1+E$23)^(H33-0.5)</f>
        <v>0.843019175422553</v>
      </c>
    </row>
    <row r="34" spans="1:18">
      <c r="A34">
        <v>64</v>
      </c>
      <c r="B34">
        <v>1.8977000000000001E-2</v>
      </c>
      <c r="C34">
        <f t="shared" si="0"/>
        <v>14.485625929422516</v>
      </c>
      <c r="D34">
        <f>E$22*E34</f>
        <v>38.166269508938498</v>
      </c>
      <c r="E34">
        <f t="shared" si="2"/>
        <v>763.32539017876991</v>
      </c>
      <c r="H34">
        <v>5</v>
      </c>
      <c r="I34">
        <f>O33</f>
        <v>6569500.8164339298</v>
      </c>
      <c r="J34">
        <f>I34*(1+E$11)^0.5</f>
        <v>6683478.354219866</v>
      </c>
      <c r="K34">
        <f>B34*J34</f>
        <v>126832.3687280304</v>
      </c>
      <c r="M34" s="5">
        <f>E$22*J34*0.98</f>
        <v>327490.43935677345</v>
      </c>
      <c r="N34" s="5">
        <f>K34+L34+M34</f>
        <v>454322.80808480387</v>
      </c>
      <c r="O34">
        <f t="shared" si="1"/>
        <v>6330428.8311704239</v>
      </c>
      <c r="P34">
        <f>E$20*(1+E$21)^(H34-1)*(E34-0.5*(D34+C34))</f>
        <v>39887.594921016454</v>
      </c>
      <c r="Q34">
        <f>N34+P34</f>
        <v>494210.40300582035</v>
      </c>
      <c r="R34">
        <f>1/(1+E$23)^(H34-0.5)</f>
        <v>0.80287540516433631</v>
      </c>
    </row>
    <row r="35" spans="1:18">
      <c r="A35">
        <v>65</v>
      </c>
      <c r="E35">
        <f t="shared" si="2"/>
        <v>710.67349474040884</v>
      </c>
      <c r="L35">
        <f>O34</f>
        <v>6330428.8311704239</v>
      </c>
      <c r="Q35">
        <f>L35</f>
        <v>6330428.8311704239</v>
      </c>
      <c r="R35">
        <f>1/(1+E$23)^H34</f>
        <v>0.78352616646845896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5"/>
  <sheetViews>
    <sheetView topLeftCell="A15" workbookViewId="0">
      <selection activeCell="O34" sqref="O34"/>
    </sheetView>
  </sheetViews>
  <sheetFormatPr defaultRowHeight="15"/>
  <cols>
    <col min="5" max="5" width="10.140625" customWidth="1"/>
    <col min="9" max="9" width="21.85546875" customWidth="1"/>
    <col min="10" max="10" width="21.140625" customWidth="1"/>
    <col min="11" max="12" width="16.5703125" customWidth="1"/>
    <col min="13" max="13" width="11.7109375" customWidth="1"/>
    <col min="14" max="14" width="13.5703125" customWidth="1"/>
    <col min="15" max="17" width="19.28515625" customWidth="1"/>
    <col min="18" max="18" width="24.85546875" customWidth="1"/>
    <col min="19" max="19" width="18.28515625" customWidth="1"/>
  </cols>
  <sheetData>
    <row r="1" spans="1:5">
      <c r="A1" s="1" t="s">
        <v>30</v>
      </c>
    </row>
    <row r="3" spans="1:5">
      <c r="A3" s="2" t="s">
        <v>1</v>
      </c>
    </row>
    <row r="4" spans="1:5">
      <c r="A4" t="s">
        <v>0</v>
      </c>
      <c r="E4">
        <v>1000</v>
      </c>
    </row>
    <row r="7" spans="1:5">
      <c r="A7" s="2" t="s">
        <v>2</v>
      </c>
    </row>
    <row r="8" spans="1:5">
      <c r="A8" t="s">
        <v>31</v>
      </c>
    </row>
    <row r="9" spans="1:5">
      <c r="A9" t="s">
        <v>32</v>
      </c>
    </row>
    <row r="10" spans="1:5">
      <c r="A10" t="s">
        <v>37</v>
      </c>
      <c r="E10">
        <v>0.98</v>
      </c>
    </row>
    <row r="11" spans="1:5">
      <c r="A11" t="s">
        <v>36</v>
      </c>
      <c r="E11">
        <v>3.5000000000000003E-2</v>
      </c>
    </row>
    <row r="13" spans="1:5">
      <c r="A13" s="2" t="s">
        <v>33</v>
      </c>
    </row>
    <row r="14" spans="1:5">
      <c r="C14" s="2"/>
    </row>
    <row r="15" spans="1:5">
      <c r="A15" t="s">
        <v>34</v>
      </c>
    </row>
    <row r="19" spans="1:19">
      <c r="A19" s="2" t="s">
        <v>3</v>
      </c>
    </row>
    <row r="20" spans="1:19">
      <c r="A20" t="s">
        <v>35</v>
      </c>
      <c r="E20">
        <v>50</v>
      </c>
    </row>
    <row r="21" spans="1:19">
      <c r="A21" t="s">
        <v>4</v>
      </c>
      <c r="E21">
        <v>0.02</v>
      </c>
    </row>
    <row r="22" spans="1:19">
      <c r="A22" t="s">
        <v>5</v>
      </c>
      <c r="E22">
        <f>0.05*1.5</f>
        <v>7.5000000000000011E-2</v>
      </c>
    </row>
    <row r="23" spans="1:19">
      <c r="A23" t="s">
        <v>46</v>
      </c>
      <c r="E23">
        <v>0.05</v>
      </c>
    </row>
    <row r="24" spans="1:19">
      <c r="A24" t="s">
        <v>6</v>
      </c>
    </row>
    <row r="26" spans="1:19">
      <c r="A26" s="2"/>
      <c r="D26" s="3"/>
    </row>
    <row r="27" spans="1:19">
      <c r="A27" s="2" t="s">
        <v>8</v>
      </c>
      <c r="H27" s="2" t="s">
        <v>38</v>
      </c>
    </row>
    <row r="28" spans="1:19">
      <c r="A28" t="s">
        <v>18</v>
      </c>
      <c r="C28" t="s">
        <v>10</v>
      </c>
      <c r="D28" t="s">
        <v>11</v>
      </c>
      <c r="E28" t="s">
        <v>12</v>
      </c>
      <c r="H28" t="s">
        <v>39</v>
      </c>
      <c r="I28" t="s">
        <v>40</v>
      </c>
      <c r="J28" t="s">
        <v>41</v>
      </c>
      <c r="K28" t="s">
        <v>42</v>
      </c>
      <c r="L28" t="s">
        <v>44</v>
      </c>
      <c r="M28" t="s">
        <v>16</v>
      </c>
      <c r="N28" t="s">
        <v>45</v>
      </c>
      <c r="O28" t="s">
        <v>43</v>
      </c>
      <c r="P28" t="s">
        <v>17</v>
      </c>
      <c r="Q28" t="s">
        <v>47</v>
      </c>
      <c r="R28" t="s">
        <v>21</v>
      </c>
      <c r="S28" t="s">
        <v>48</v>
      </c>
    </row>
    <row r="29" spans="1:19">
      <c r="A29" t="s">
        <v>7</v>
      </c>
      <c r="B29" t="s">
        <v>9</v>
      </c>
      <c r="C29" t="s">
        <v>14</v>
      </c>
      <c r="D29" t="s">
        <v>15</v>
      </c>
      <c r="E29" t="s">
        <v>13</v>
      </c>
      <c r="H29" t="s">
        <v>20</v>
      </c>
    </row>
    <row r="30" spans="1:19">
      <c r="A30">
        <v>60</v>
      </c>
      <c r="B30">
        <v>1.3166000000000001E-2</v>
      </c>
      <c r="C30">
        <f>B30*E30</f>
        <v>13.166</v>
      </c>
      <c r="D30">
        <f>E$22*E30</f>
        <v>75.000000000000014</v>
      </c>
      <c r="E30">
        <f>E4</f>
        <v>1000</v>
      </c>
      <c r="H30">
        <v>1</v>
      </c>
      <c r="I30">
        <v>7500000</v>
      </c>
      <c r="J30">
        <f>I30*(1+E$11)^0.5</f>
        <v>7630121.2310159262</v>
      </c>
      <c r="K30">
        <f>B30*J30</f>
        <v>100458.17612755569</v>
      </c>
      <c r="L30">
        <v>0</v>
      </c>
      <c r="M30" s="5">
        <f>E$22*J30*0.98</f>
        <v>560813.91047967062</v>
      </c>
      <c r="N30" s="5">
        <f>K30+L30+M30</f>
        <v>661272.08660722629</v>
      </c>
      <c r="O30">
        <f>(1-B30-E$22)*J30*(1+E$11)^0.5</f>
        <v>7078111.4249999998</v>
      </c>
      <c r="P30">
        <f>E$20*(1+E$21)^(H30-1)*(E30-0.5*(D30+C30))</f>
        <v>47795.85</v>
      </c>
      <c r="Q30">
        <f>N30+P30</f>
        <v>709067.93660722626</v>
      </c>
      <c r="R30">
        <f>1/(1+E$23)^(H30-0.5)</f>
        <v>0.97590007294853309</v>
      </c>
      <c r="S30">
        <f>SUMPRODUCT(Q30:Q$35,R30:R$35)</f>
        <v>7222613.6609547306</v>
      </c>
    </row>
    <row r="31" spans="1:19">
      <c r="A31">
        <v>61</v>
      </c>
      <c r="B31">
        <v>1.4564000000000001E-2</v>
      </c>
      <c r="C31">
        <f t="shared" ref="C31:C34" si="0">B31*E31</f>
        <v>13.279950376</v>
      </c>
      <c r="D31">
        <f>E$22*E31</f>
        <v>68.387550000000005</v>
      </c>
      <c r="E31">
        <f>E30-C30-D30</f>
        <v>911.83399999999995</v>
      </c>
      <c r="H31">
        <v>2</v>
      </c>
      <c r="I31">
        <f>O30</f>
        <v>7078111.4249999998</v>
      </c>
      <c r="J31">
        <f>I31*(1+E$11)^0.5</f>
        <v>7200913.1012518527</v>
      </c>
      <c r="K31">
        <f>B31*J31</f>
        <v>104874.09840663198</v>
      </c>
      <c r="M31" s="5">
        <f>E$22*J31*0.98</f>
        <v>529267.11294201121</v>
      </c>
      <c r="N31" s="5">
        <f>K31+L31+M31</f>
        <v>634141.21134864318</v>
      </c>
      <c r="O31">
        <f>(1-B31-E$22)*J31*(1+E$11)^0.5</f>
        <v>6669713.314197896</v>
      </c>
      <c r="P31">
        <f>E$20*(1+E$21)^(H31-1)*(E31-0.5*(D31+C31))</f>
        <v>44421.012740411999</v>
      </c>
      <c r="Q31">
        <f>N31+P31</f>
        <v>678562.22408905521</v>
      </c>
      <c r="R31">
        <f>1/(1+E$23)^(H31-0.5)</f>
        <v>0.92942864090336497</v>
      </c>
    </row>
    <row r="32" spans="1:19">
      <c r="A32">
        <v>62</v>
      </c>
      <c r="B32">
        <v>1.6015999999999999E-2</v>
      </c>
      <c r="C32">
        <f t="shared" si="0"/>
        <v>13.295946657977982</v>
      </c>
      <c r="D32">
        <f>E$22*E32</f>
        <v>62.2624874718</v>
      </c>
      <c r="E32">
        <f t="shared" ref="E32:E35" si="1">E31-C31-D31</f>
        <v>830.16649962399993</v>
      </c>
      <c r="H32">
        <v>3</v>
      </c>
      <c r="I32">
        <f>O31</f>
        <v>6669713.314197896</v>
      </c>
      <c r="J32">
        <f>I32*(1+E$11)^0.5</f>
        <v>6785429.4884601291</v>
      </c>
      <c r="K32">
        <f>B32*J32</f>
        <v>108675.43868717742</v>
      </c>
      <c r="M32" s="5">
        <f>E$22*J32*0.98</f>
        <v>498729.06740181951</v>
      </c>
      <c r="N32" s="5">
        <f>K32+L32+M32</f>
        <v>607404.50608899689</v>
      </c>
      <c r="O32">
        <f>(1-B32-E$22)*J32*(1+E$11)^0.5</f>
        <v>6274855.881244611</v>
      </c>
      <c r="P32">
        <f>E$20*(1+E$21)^(H32-1)*(E32-0.5*(D32+C32))</f>
        <v>41219.986438724947</v>
      </c>
      <c r="Q32">
        <f>N32+P32</f>
        <v>648624.4925277218</v>
      </c>
      <c r="R32">
        <f>1/(1+E$23)^(H32-0.5)</f>
        <v>0.88517013419368074</v>
      </c>
    </row>
    <row r="33" spans="1:18">
      <c r="A33">
        <v>63</v>
      </c>
      <c r="B33">
        <v>1.7403999999999999E-2</v>
      </c>
      <c r="C33">
        <f t="shared" si="0"/>
        <v>13.133198771861437</v>
      </c>
      <c r="D33">
        <f>E$22*E33</f>
        <v>56.595604912066655</v>
      </c>
      <c r="E33">
        <f t="shared" si="1"/>
        <v>754.60806549422193</v>
      </c>
      <c r="H33">
        <v>4</v>
      </c>
      <c r="I33">
        <f>O32</f>
        <v>6274855.881244611</v>
      </c>
      <c r="J33">
        <f>I33*(1+E$11)^0.5</f>
        <v>6383721.4774732878</v>
      </c>
      <c r="K33">
        <f>B33*J33</f>
        <v>111102.28859394509</v>
      </c>
      <c r="M33" s="5">
        <f>E$22*J33*0.98</f>
        <v>469203.5285942867</v>
      </c>
      <c r="N33" s="5">
        <f>K33+L33+M33</f>
        <v>580305.81718823174</v>
      </c>
      <c r="O33">
        <f>(1-B33-E$22)*J33*(1+E$11)^0.5</f>
        <v>5894360.2918378776</v>
      </c>
      <c r="P33">
        <f>E$20*(1+E$21)^(H33-1)*(E33-0.5*(D33+C33))</f>
        <v>38189.886690854255</v>
      </c>
      <c r="Q33">
        <f>N33+P33</f>
        <v>618495.70387908595</v>
      </c>
      <c r="R33">
        <f>1/(1+E$23)^(H33-0.5)</f>
        <v>0.843019175422553</v>
      </c>
    </row>
    <row r="34" spans="1:18">
      <c r="A34">
        <v>64</v>
      </c>
      <c r="B34">
        <v>1.8977000000000001E-2</v>
      </c>
      <c r="C34">
        <f t="shared" si="0"/>
        <v>12.996953751373947</v>
      </c>
      <c r="D34">
        <f>E$22*E34</f>
        <v>51.365944635772046</v>
      </c>
      <c r="E34">
        <f t="shared" si="1"/>
        <v>684.87926181029388</v>
      </c>
      <c r="H34">
        <v>5</v>
      </c>
      <c r="I34">
        <f>O33</f>
        <v>5894360.2918378776</v>
      </c>
      <c r="J34">
        <f>I34*(1+E$11)^0.5</f>
        <v>5996624.4808012564</v>
      </c>
      <c r="K34">
        <f>B34*J34</f>
        <v>113797.94277216545</v>
      </c>
      <c r="M34" s="5">
        <f>E$22*J34*0.98</f>
        <v>440751.89933889243</v>
      </c>
      <c r="N34" s="5">
        <f>K34+L34+M34</f>
        <v>554549.84211105783</v>
      </c>
      <c r="O34">
        <f>(1-B34-E$22)*J34*(1+E$11)^0.5</f>
        <v>5527340.9045060435</v>
      </c>
      <c r="P34">
        <f>E$20*(1+E$21)^(H34-1)*(E34-0.5*(D34+C34))</f>
        <v>35325.055156899623</v>
      </c>
      <c r="Q34">
        <f>N34+P34</f>
        <v>589874.89726795745</v>
      </c>
      <c r="R34">
        <f>1/(1+E$23)^(H34-0.5)</f>
        <v>0.80287540516433631</v>
      </c>
    </row>
    <row r="35" spans="1:18">
      <c r="A35">
        <v>65</v>
      </c>
      <c r="E35">
        <f t="shared" si="1"/>
        <v>620.51636342314794</v>
      </c>
      <c r="L35">
        <f>O34</f>
        <v>5527340.9045060435</v>
      </c>
      <c r="Q35">
        <f>L35</f>
        <v>5527340.9045060435</v>
      </c>
      <c r="R35">
        <f>1/(1+E$23)^H34</f>
        <v>0.78352616646845896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5"/>
  <sheetViews>
    <sheetView topLeftCell="M4" workbookViewId="0">
      <selection activeCell="O34" sqref="O34"/>
    </sheetView>
  </sheetViews>
  <sheetFormatPr defaultRowHeight="15"/>
  <cols>
    <col min="5" max="5" width="10.140625" customWidth="1"/>
    <col min="9" max="9" width="21.85546875" customWidth="1"/>
    <col min="10" max="10" width="21.140625" customWidth="1"/>
    <col min="11" max="12" width="16.5703125" customWidth="1"/>
    <col min="13" max="13" width="11.7109375" customWidth="1"/>
    <col min="14" max="14" width="13.5703125" customWidth="1"/>
    <col min="15" max="17" width="19.28515625" customWidth="1"/>
    <col min="18" max="18" width="24.85546875" customWidth="1"/>
    <col min="19" max="19" width="18.28515625" customWidth="1"/>
  </cols>
  <sheetData>
    <row r="1" spans="1:5">
      <c r="A1" s="1" t="s">
        <v>30</v>
      </c>
    </row>
    <row r="3" spans="1:5">
      <c r="A3" s="2" t="s">
        <v>1</v>
      </c>
    </row>
    <row r="4" spans="1:5">
      <c r="A4" t="s">
        <v>0</v>
      </c>
      <c r="E4">
        <v>1000</v>
      </c>
    </row>
    <row r="7" spans="1:5">
      <c r="A7" s="2" t="s">
        <v>2</v>
      </c>
    </row>
    <row r="8" spans="1:5">
      <c r="A8" t="s">
        <v>31</v>
      </c>
    </row>
    <row r="9" spans="1:5">
      <c r="A9" t="s">
        <v>32</v>
      </c>
    </row>
    <row r="10" spans="1:5">
      <c r="A10" t="s">
        <v>37</v>
      </c>
      <c r="E10">
        <v>0.98</v>
      </c>
    </row>
    <row r="11" spans="1:5">
      <c r="A11" t="s">
        <v>36</v>
      </c>
      <c r="E11">
        <v>3.5000000000000003E-2</v>
      </c>
    </row>
    <row r="13" spans="1:5">
      <c r="A13" s="2" t="s">
        <v>33</v>
      </c>
    </row>
    <row r="14" spans="1:5">
      <c r="C14" s="2"/>
    </row>
    <row r="15" spans="1:5">
      <c r="A15" t="s">
        <v>34</v>
      </c>
    </row>
    <row r="19" spans="1:19">
      <c r="A19" s="2" t="s">
        <v>3</v>
      </c>
    </row>
    <row r="20" spans="1:19">
      <c r="A20" t="s">
        <v>35</v>
      </c>
      <c r="E20">
        <v>50</v>
      </c>
    </row>
    <row r="21" spans="1:19">
      <c r="A21" t="s">
        <v>4</v>
      </c>
      <c r="E21">
        <v>0.02</v>
      </c>
    </row>
    <row r="22" spans="1:19">
      <c r="A22" t="s">
        <v>5</v>
      </c>
      <c r="E22">
        <f>0.05*0.5</f>
        <v>2.5000000000000001E-2</v>
      </c>
    </row>
    <row r="23" spans="1:19">
      <c r="A23" t="s">
        <v>46</v>
      </c>
      <c r="E23">
        <v>0.05</v>
      </c>
    </row>
    <row r="24" spans="1:19">
      <c r="A24" t="s">
        <v>6</v>
      </c>
    </row>
    <row r="26" spans="1:19">
      <c r="A26" s="2"/>
      <c r="D26" s="3"/>
    </row>
    <row r="27" spans="1:19">
      <c r="A27" s="2" t="s">
        <v>8</v>
      </c>
      <c r="H27" s="2" t="s">
        <v>38</v>
      </c>
    </row>
    <row r="28" spans="1:19">
      <c r="A28" t="s">
        <v>18</v>
      </c>
      <c r="C28" t="s">
        <v>10</v>
      </c>
      <c r="D28" t="s">
        <v>11</v>
      </c>
      <c r="E28" t="s">
        <v>12</v>
      </c>
      <c r="H28" t="s">
        <v>39</v>
      </c>
      <c r="I28" t="s">
        <v>40</v>
      </c>
      <c r="J28" t="s">
        <v>41</v>
      </c>
      <c r="K28" t="s">
        <v>42</v>
      </c>
      <c r="L28" t="s">
        <v>44</v>
      </c>
      <c r="M28" t="s">
        <v>16</v>
      </c>
      <c r="N28" t="s">
        <v>45</v>
      </c>
      <c r="O28" t="s">
        <v>43</v>
      </c>
      <c r="P28" t="s">
        <v>17</v>
      </c>
      <c r="Q28" t="s">
        <v>47</v>
      </c>
      <c r="R28" t="s">
        <v>21</v>
      </c>
      <c r="S28" t="s">
        <v>48</v>
      </c>
    </row>
    <row r="29" spans="1:19">
      <c r="A29" t="s">
        <v>7</v>
      </c>
      <c r="B29" t="s">
        <v>9</v>
      </c>
      <c r="C29" t="s">
        <v>14</v>
      </c>
      <c r="D29" t="s">
        <v>15</v>
      </c>
      <c r="E29" t="s">
        <v>13</v>
      </c>
      <c r="H29" t="s">
        <v>20</v>
      </c>
    </row>
    <row r="30" spans="1:19">
      <c r="A30">
        <v>60</v>
      </c>
      <c r="B30">
        <v>1.3166000000000001E-2</v>
      </c>
      <c r="C30">
        <f>B30*E30</f>
        <v>13.166</v>
      </c>
      <c r="D30">
        <f>E$22*E30</f>
        <v>25</v>
      </c>
      <c r="E30">
        <f>E4</f>
        <v>1000</v>
      </c>
      <c r="H30">
        <v>1</v>
      </c>
      <c r="I30">
        <v>7500000</v>
      </c>
      <c r="J30">
        <f>I30*(1+E$11)^0.5</f>
        <v>7630121.2310159262</v>
      </c>
      <c r="K30">
        <f>B30*J30</f>
        <v>100458.17612755569</v>
      </c>
      <c r="L30">
        <v>0</v>
      </c>
      <c r="M30" s="5">
        <f>E$22*J30*0.98</f>
        <v>186937.97015989019</v>
      </c>
      <c r="N30" s="5">
        <f>K30+L30+M30</f>
        <v>287396.14628744591</v>
      </c>
      <c r="O30">
        <f>(1-B30-E$22)*J30*(1+E$11)^0.5</f>
        <v>7466236.4249999998</v>
      </c>
      <c r="P30">
        <f>E$20*(1+E$21)^(H30-1)*(E30-0.5*(D30+C30))</f>
        <v>49045.85</v>
      </c>
      <c r="Q30">
        <f>N30+P30</f>
        <v>336441.99628744589</v>
      </c>
      <c r="R30">
        <f>1/(1+E$23)^(H30-0.5)</f>
        <v>0.97590007294853309</v>
      </c>
      <c r="S30">
        <f>SUMPRODUCT(Q30:Q$35,R30:R$35)</f>
        <v>7220517.9044914655</v>
      </c>
    </row>
    <row r="31" spans="1:19">
      <c r="A31">
        <v>61</v>
      </c>
      <c r="B31">
        <v>1.4564000000000001E-2</v>
      </c>
      <c r="C31">
        <f t="shared" ref="C31:C34" si="0">B31*E31</f>
        <v>14.008150376</v>
      </c>
      <c r="D31">
        <f>E$22*E31</f>
        <v>24.045850000000002</v>
      </c>
      <c r="E31">
        <f>E30-C30-D30</f>
        <v>961.83399999999995</v>
      </c>
      <c r="H31">
        <v>2</v>
      </c>
      <c r="I31">
        <f>O30</f>
        <v>7466236.4249999998</v>
      </c>
      <c r="J31">
        <f>I31*(1+E$11)^0.5</f>
        <v>7595771.8749569263</v>
      </c>
      <c r="K31">
        <f>B31*J31</f>
        <v>110624.82158687268</v>
      </c>
      <c r="M31" s="5">
        <f>E$22*J31*0.98</f>
        <v>186096.41093644468</v>
      </c>
      <c r="N31" s="5">
        <f>K31+L31+M31</f>
        <v>296721.23252331733</v>
      </c>
      <c r="O31">
        <f>(1-B31-E$22)*J31*(1+E$11)^0.5</f>
        <v>7421821.7257291451</v>
      </c>
      <c r="P31">
        <f>E$20*(1+E$21)^(H31-1)*(E31-0.5*(D31+C31))</f>
        <v>48083.156990411997</v>
      </c>
      <c r="Q31">
        <f>N31+P31</f>
        <v>344804.38951372931</v>
      </c>
      <c r="R31">
        <f>1/(1+E$23)^(H31-0.5)</f>
        <v>0.92942864090336497</v>
      </c>
    </row>
    <row r="32" spans="1:19">
      <c r="A32">
        <v>62</v>
      </c>
      <c r="B32">
        <v>1.6015999999999999E-2</v>
      </c>
      <c r="C32">
        <f t="shared" si="0"/>
        <v>14.795260473977983</v>
      </c>
      <c r="D32">
        <f>E$22*E32</f>
        <v>23.094499990599999</v>
      </c>
      <c r="E32">
        <f t="shared" ref="E32:E35" si="1">E31-C31-D31</f>
        <v>923.77999962399997</v>
      </c>
      <c r="H32">
        <v>3</v>
      </c>
      <c r="I32">
        <f>O31</f>
        <v>7421821.7257291451</v>
      </c>
      <c r="J32">
        <f>I32*(1+E$11)^0.5</f>
        <v>7550586.6029734956</v>
      </c>
      <c r="K32">
        <f>B32*J32</f>
        <v>120930.1950332235</v>
      </c>
      <c r="M32" s="5">
        <f>E$22*J32*0.98</f>
        <v>184989.37177285063</v>
      </c>
      <c r="N32" s="5">
        <f>K32+L32+M32</f>
        <v>305919.56680607412</v>
      </c>
      <c r="O32">
        <f>(1-B32-E$22)*J32*(1+E$11)^0.5</f>
        <v>7366517.5758305704</v>
      </c>
      <c r="P32">
        <f>E$20*(1+E$21)^(H32-1)*(E32-0.5*(D32+C32))</f>
        <v>47069.522910756801</v>
      </c>
      <c r="Q32">
        <f>N32+P32</f>
        <v>352989.08971683093</v>
      </c>
      <c r="R32">
        <f>1/(1+E$23)^(H32-0.5)</f>
        <v>0.88517013419368074</v>
      </c>
    </row>
    <row r="33" spans="1:18">
      <c r="A33">
        <v>63</v>
      </c>
      <c r="B33">
        <v>1.7403999999999999E-2</v>
      </c>
      <c r="C33">
        <f t="shared" si="0"/>
        <v>15.418033722330579</v>
      </c>
      <c r="D33">
        <f>E$22*E33</f>
        <v>22.147255978985552</v>
      </c>
      <c r="E33">
        <f t="shared" si="1"/>
        <v>885.89023915942198</v>
      </c>
      <c r="H33">
        <v>4</v>
      </c>
      <c r="I33">
        <f>O32</f>
        <v>7366517.5758305704</v>
      </c>
      <c r="J33">
        <f>I33*(1+E$11)^0.5</f>
        <v>7494322.9538662415</v>
      </c>
      <c r="K33">
        <f>B33*J33</f>
        <v>130431.19668908806</v>
      </c>
      <c r="M33" s="5">
        <f>E$22*J33*0.98</f>
        <v>183610.91236972291</v>
      </c>
      <c r="N33" s="5">
        <f>K33+L33+M33</f>
        <v>314042.10905881098</v>
      </c>
      <c r="O33">
        <f>(1-B33-E$22)*J33*(1+E$11)^0.5</f>
        <v>7301042.9363041278</v>
      </c>
      <c r="P33">
        <f>E$20*(1+E$21)^(H33-1)*(E33-0.5*(D33+C33))</f>
        <v>46009.075797060737</v>
      </c>
      <c r="Q33">
        <f>N33+P33</f>
        <v>360051.18485587172</v>
      </c>
      <c r="R33">
        <f>1/(1+E$23)^(H33-0.5)</f>
        <v>0.843019175422553</v>
      </c>
    </row>
    <row r="34" spans="1:18">
      <c r="A34">
        <v>64</v>
      </c>
      <c r="B34">
        <v>1.8977000000000001E-2</v>
      </c>
      <c r="C34">
        <f t="shared" si="0"/>
        <v>16.098662565866476</v>
      </c>
      <c r="D34">
        <f>E$22*E34</f>
        <v>21.208123736452649</v>
      </c>
      <c r="E34">
        <f t="shared" si="1"/>
        <v>848.32494945810583</v>
      </c>
      <c r="H34">
        <v>5</v>
      </c>
      <c r="I34">
        <f>O33</f>
        <v>7301042.9363041278</v>
      </c>
      <c r="J34">
        <f>I34*(1+E$11)^0.5</f>
        <v>7427712.3622470647</v>
      </c>
      <c r="K34">
        <f>B34*J34</f>
        <v>140955.69749836254</v>
      </c>
      <c r="M34" s="5">
        <f>E$22*J34*0.98</f>
        <v>181978.9528750531</v>
      </c>
      <c r="N34" s="5">
        <f>K34+L34+M34</f>
        <v>322934.65037341567</v>
      </c>
      <c r="O34">
        <f>(1-B34-E$22)*J34*(1+E$11)^0.5</f>
        <v>7224263.7450825805</v>
      </c>
      <c r="P34">
        <f>E$20*(1+E$21)^(H34-1)*(E34-0.5*(D34+C34))</f>
        <v>44903.158739194478</v>
      </c>
      <c r="Q34">
        <f>N34+P34</f>
        <v>367837.80911261018</v>
      </c>
      <c r="R34">
        <f>1/(1+E$23)^(H34-0.5)</f>
        <v>0.80287540516433631</v>
      </c>
    </row>
    <row r="35" spans="1:18">
      <c r="A35">
        <v>65</v>
      </c>
      <c r="E35">
        <f t="shared" si="1"/>
        <v>811.01816315578674</v>
      </c>
      <c r="L35">
        <f>O34</f>
        <v>7224263.7450825805</v>
      </c>
      <c r="Q35">
        <f>L35</f>
        <v>7224263.7450825805</v>
      </c>
      <c r="R35">
        <f>1/(1+E$23)^H34</f>
        <v>0.78352616646845896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5"/>
  <sheetViews>
    <sheetView workbookViewId="0">
      <selection activeCell="P26" sqref="P26"/>
    </sheetView>
  </sheetViews>
  <sheetFormatPr defaultRowHeight="15"/>
  <cols>
    <col min="5" max="5" width="10.140625" customWidth="1"/>
    <col min="9" max="9" width="21.85546875" customWidth="1"/>
    <col min="10" max="10" width="21.140625" customWidth="1"/>
    <col min="11" max="12" width="16.5703125" customWidth="1"/>
    <col min="13" max="13" width="11.7109375" customWidth="1"/>
    <col min="14" max="14" width="13.5703125" customWidth="1"/>
    <col min="15" max="17" width="19.28515625" customWidth="1"/>
    <col min="18" max="18" width="24.85546875" customWidth="1"/>
    <col min="19" max="19" width="18.28515625" customWidth="1"/>
  </cols>
  <sheetData>
    <row r="1" spans="1:5">
      <c r="A1" s="1" t="s">
        <v>30</v>
      </c>
    </row>
    <row r="3" spans="1:5">
      <c r="A3" s="2" t="s">
        <v>1</v>
      </c>
    </row>
    <row r="4" spans="1:5">
      <c r="A4" t="s">
        <v>0</v>
      </c>
      <c r="E4">
        <v>1000</v>
      </c>
    </row>
    <row r="7" spans="1:5">
      <c r="A7" s="2" t="s">
        <v>2</v>
      </c>
    </row>
    <row r="8" spans="1:5">
      <c r="A8" t="s">
        <v>31</v>
      </c>
    </row>
    <row r="9" spans="1:5">
      <c r="A9" t="s">
        <v>32</v>
      </c>
    </row>
    <row r="10" spans="1:5">
      <c r="A10" t="s">
        <v>37</v>
      </c>
      <c r="E10">
        <v>0.98</v>
      </c>
    </row>
    <row r="11" spans="1:5">
      <c r="A11" t="s">
        <v>36</v>
      </c>
      <c r="E11">
        <v>3.5000000000000003E-2</v>
      </c>
    </row>
    <row r="13" spans="1:5">
      <c r="A13" s="2" t="s">
        <v>33</v>
      </c>
    </row>
    <row r="14" spans="1:5">
      <c r="C14" s="2"/>
    </row>
    <row r="15" spans="1:5">
      <c r="A15" t="s">
        <v>34</v>
      </c>
    </row>
    <row r="19" spans="1:19">
      <c r="A19" s="2" t="s">
        <v>3</v>
      </c>
    </row>
    <row r="20" spans="1:19">
      <c r="A20" t="s">
        <v>35</v>
      </c>
      <c r="E20">
        <v>50</v>
      </c>
    </row>
    <row r="21" spans="1:19">
      <c r="A21" t="s">
        <v>4</v>
      </c>
      <c r="E21">
        <v>0.02</v>
      </c>
    </row>
    <row r="22" spans="1:19">
      <c r="A22" t="s">
        <v>5</v>
      </c>
      <c r="E22">
        <v>0.05</v>
      </c>
    </row>
    <row r="23" spans="1:19">
      <c r="A23" t="s">
        <v>46</v>
      </c>
      <c r="E23">
        <v>0.05</v>
      </c>
    </row>
    <row r="24" spans="1:19">
      <c r="A24" t="s">
        <v>6</v>
      </c>
    </row>
    <row r="26" spans="1:19">
      <c r="A26" s="2"/>
      <c r="D26" s="3"/>
    </row>
    <row r="27" spans="1:19">
      <c r="A27" s="2" t="s">
        <v>8</v>
      </c>
      <c r="H27" s="2" t="s">
        <v>38</v>
      </c>
    </row>
    <row r="28" spans="1:19">
      <c r="A28" t="s">
        <v>18</v>
      </c>
      <c r="C28" t="s">
        <v>10</v>
      </c>
      <c r="D28" t="s">
        <v>11</v>
      </c>
      <c r="E28" t="s">
        <v>12</v>
      </c>
      <c r="H28" t="s">
        <v>39</v>
      </c>
      <c r="I28" t="s">
        <v>40</v>
      </c>
      <c r="J28" t="s">
        <v>41</v>
      </c>
      <c r="K28" t="s">
        <v>42</v>
      </c>
      <c r="L28" t="s">
        <v>44</v>
      </c>
      <c r="M28" t="s">
        <v>16</v>
      </c>
      <c r="N28" t="s">
        <v>45</v>
      </c>
      <c r="O28" t="s">
        <v>43</v>
      </c>
      <c r="P28" t="s">
        <v>17</v>
      </c>
      <c r="Q28" t="s">
        <v>47</v>
      </c>
      <c r="R28" t="s">
        <v>21</v>
      </c>
      <c r="S28" t="s">
        <v>48</v>
      </c>
    </row>
    <row r="29" spans="1:19">
      <c r="A29" t="s">
        <v>7</v>
      </c>
      <c r="B29" t="s">
        <v>9</v>
      </c>
      <c r="C29" t="s">
        <v>14</v>
      </c>
      <c r="D29" t="s">
        <v>15</v>
      </c>
      <c r="E29" t="s">
        <v>13</v>
      </c>
      <c r="H29" t="s">
        <v>20</v>
      </c>
    </row>
    <row r="30" spans="1:19">
      <c r="A30">
        <v>60</v>
      </c>
      <c r="B30">
        <v>1.3166000000000001E-2</v>
      </c>
      <c r="C30">
        <f>B30*E30</f>
        <v>13.166</v>
      </c>
      <c r="D30">
        <f>0.4*E30</f>
        <v>400</v>
      </c>
      <c r="E30">
        <f>E4</f>
        <v>1000</v>
      </c>
      <c r="H30">
        <v>1</v>
      </c>
      <c r="I30">
        <v>7500000</v>
      </c>
      <c r="J30">
        <f>I30*(1+E$11)^0.5</f>
        <v>7630121.2310159262</v>
      </c>
      <c r="K30">
        <f>B30*J30</f>
        <v>100458.17612755569</v>
      </c>
      <c r="L30">
        <v>0</v>
      </c>
      <c r="M30" s="5">
        <f>0.4*J30*0.98</f>
        <v>2991007.522558243</v>
      </c>
      <c r="N30" s="5">
        <f>K30+L30+M30</f>
        <v>3091465.6986857988</v>
      </c>
      <c r="O30">
        <f>(1-B30-0.4)*J30*(1+E$11)^0.5</f>
        <v>4555298.9249999989</v>
      </c>
      <c r="P30">
        <f>E$20*(1+E$21)^(H30-1)*(E30-0.5*(D30+C30))</f>
        <v>39670.85</v>
      </c>
      <c r="Q30">
        <f>N30+P30</f>
        <v>3131136.5486857989</v>
      </c>
      <c r="R30">
        <f>1/(1+E$23)^(H30-0.5)</f>
        <v>0.97590007294853309</v>
      </c>
      <c r="S30">
        <f>SUMPRODUCT(Q30:Q$35,R30:R$35)</f>
        <v>7259543.1015150435</v>
      </c>
    </row>
    <row r="31" spans="1:19">
      <c r="A31">
        <v>61</v>
      </c>
      <c r="B31">
        <v>1.4564000000000001E-2</v>
      </c>
      <c r="C31">
        <f t="shared" ref="C31:C34" si="0">B31*E31</f>
        <v>8.5466503759999988</v>
      </c>
      <c r="D31">
        <f>E$22*E31</f>
        <v>29.341699999999999</v>
      </c>
      <c r="E31">
        <f>E30-C30-D30</f>
        <v>586.83399999999995</v>
      </c>
      <c r="H31">
        <v>2</v>
      </c>
      <c r="I31">
        <f>O30</f>
        <v>4555298.9249999989</v>
      </c>
      <c r="J31">
        <f>I31*(1+E$11)^0.5</f>
        <v>4634331.072168869</v>
      </c>
      <c r="K31">
        <f>B31*J31</f>
        <v>67494.39773506741</v>
      </c>
      <c r="M31" s="5">
        <f>E$22*J31*0.98</f>
        <v>227082.22253627461</v>
      </c>
      <c r="N31" s="5">
        <f>K31+L31+M31</f>
        <v>294576.62027134199</v>
      </c>
      <c r="O31">
        <f>(1-B31-E$22)*J31*(1+E$11)^0.5</f>
        <v>4410332.2763885185</v>
      </c>
      <c r="P31">
        <f>E$20*(1+E$21)^(H31-1)*(E31-0.5*(D31+C31))</f>
        <v>28962.381065411995</v>
      </c>
      <c r="Q31">
        <f>N31+P31</f>
        <v>323539.00133675401</v>
      </c>
      <c r="R31">
        <f>1/(1+E$23)^(H31-0.5)</f>
        <v>0.92942864090336497</v>
      </c>
    </row>
    <row r="32" spans="1:19">
      <c r="A32">
        <v>62</v>
      </c>
      <c r="B32">
        <v>1.6015999999999999E-2</v>
      </c>
      <c r="C32">
        <f t="shared" si="0"/>
        <v>8.7919135243779838</v>
      </c>
      <c r="D32">
        <f>E$22*E32</f>
        <v>27.447282481200002</v>
      </c>
      <c r="E32">
        <f t="shared" ref="E32:E35" si="1">E31-C31-D31</f>
        <v>548.945649624</v>
      </c>
      <c r="H32">
        <v>3</v>
      </c>
      <c r="I32">
        <f>O31</f>
        <v>4410332.2763885185</v>
      </c>
      <c r="J32">
        <f>I32*(1+E$11)^0.5</f>
        <v>4486849.3250542451</v>
      </c>
      <c r="K32">
        <f>B32*J32</f>
        <v>71861.378790068789</v>
      </c>
      <c r="M32" s="5">
        <f>E$22*J32*0.98</f>
        <v>219855.61692765803</v>
      </c>
      <c r="N32" s="5">
        <f>K32+L32+M32</f>
        <v>291716.99571772682</v>
      </c>
      <c r="O32">
        <f>(1-B32-E$22)*J32*(1+E$11)^0.5</f>
        <v>4263351.0731595196</v>
      </c>
      <c r="P32">
        <f>E$20*(1+E$21)^(H32-1)*(E32-0.5*(D32+C32))</f>
        <v>27613.571205335396</v>
      </c>
      <c r="Q32">
        <f>N32+P32</f>
        <v>319330.5669230622</v>
      </c>
      <c r="R32">
        <f>1/(1+E$23)^(H32-0.5)</f>
        <v>0.88517013419368074</v>
      </c>
    </row>
    <row r="33" spans="1:18">
      <c r="A33">
        <v>63</v>
      </c>
      <c r="B33">
        <v>1.7403999999999999E-2</v>
      </c>
      <c r="C33">
        <f t="shared" si="0"/>
        <v>8.9231431187750179</v>
      </c>
      <c r="D33">
        <f>E$22*E33</f>
        <v>25.635322680921107</v>
      </c>
      <c r="E33">
        <f t="shared" si="1"/>
        <v>512.70645361842207</v>
      </c>
      <c r="H33">
        <v>4</v>
      </c>
      <c r="I33">
        <f>O32</f>
        <v>4263351.0731595196</v>
      </c>
      <c r="J33">
        <f>I33*(1+E$11)^0.5</f>
        <v>4337318.0718118651</v>
      </c>
      <c r="K33">
        <f>B33*J33</f>
        <v>75486.683721813693</v>
      </c>
      <c r="M33" s="5">
        <f>E$22*J33*0.98</f>
        <v>212528.58551878139</v>
      </c>
      <c r="N33" s="5">
        <f>K33+L33+M33</f>
        <v>288015.26924059505</v>
      </c>
      <c r="O33">
        <f>(1-B33-E$22)*J33*(1+E$11)^0.5</f>
        <v>4115143.6029341253</v>
      </c>
      <c r="P33">
        <f>E$20*(1+E$21)^(H33-1)*(E33-0.5*(D33+C33))</f>
        <v>26287.566502215821</v>
      </c>
      <c r="Q33">
        <f>N33+P33</f>
        <v>314302.83574281086</v>
      </c>
      <c r="R33">
        <f>1/(1+E$23)^(H33-0.5)</f>
        <v>0.843019175422553</v>
      </c>
    </row>
    <row r="34" spans="1:18">
      <c r="A34">
        <v>64</v>
      </c>
      <c r="B34">
        <v>1.8977000000000001E-2</v>
      </c>
      <c r="C34">
        <f t="shared" si="0"/>
        <v>9.0738143648359628</v>
      </c>
      <c r="D34">
        <f>E$22*E34</f>
        <v>23.907399390936298</v>
      </c>
      <c r="E34">
        <f t="shared" si="1"/>
        <v>478.14798781872594</v>
      </c>
      <c r="H34">
        <v>5</v>
      </c>
      <c r="I34">
        <f>O33</f>
        <v>4115143.6029341253</v>
      </c>
      <c r="J34">
        <f>I34*(1+E$11)^0.5</f>
        <v>4186539.2764569391</v>
      </c>
      <c r="K34">
        <f>B34*J34</f>
        <v>79447.955849323334</v>
      </c>
      <c r="M34" s="5">
        <f>E$22*J34*0.98</f>
        <v>205140.42454639002</v>
      </c>
      <c r="N34" s="5">
        <f>K34+L34+M34</f>
        <v>284588.38039571338</v>
      </c>
      <c r="O34">
        <f>(1-B34-E$22)*J34*(1+E$11)^0.5</f>
        <v>3965388.6096267463</v>
      </c>
      <c r="P34">
        <f>E$20*(1+E$21)^(H34-1)*(E34-0.5*(D34+C34))</f>
        <v>24985.639801586804</v>
      </c>
      <c r="Q34">
        <f>N34+P34</f>
        <v>309574.02019730018</v>
      </c>
      <c r="R34">
        <f>1/(1+E$23)^(H34-0.5)</f>
        <v>0.80287540516433631</v>
      </c>
    </row>
    <row r="35" spans="1:18">
      <c r="A35">
        <v>65</v>
      </c>
      <c r="E35">
        <f t="shared" si="1"/>
        <v>445.16677406295366</v>
      </c>
      <c r="L35">
        <f>O34</f>
        <v>3965388.6096267463</v>
      </c>
      <c r="Q35">
        <f>L35</f>
        <v>3965388.6096267463</v>
      </c>
      <c r="R35">
        <f>1/(1+E$23)^H34</f>
        <v>0.78352616646845896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5"/>
  <sheetViews>
    <sheetView topLeftCell="K19" workbookViewId="0">
      <selection activeCell="O34" sqref="O34"/>
    </sheetView>
  </sheetViews>
  <sheetFormatPr defaultRowHeight="15"/>
  <cols>
    <col min="5" max="5" width="10.140625" customWidth="1"/>
    <col min="9" max="9" width="21.85546875" customWidth="1"/>
    <col min="10" max="10" width="21.140625" customWidth="1"/>
    <col min="11" max="12" width="16.5703125" customWidth="1"/>
    <col min="13" max="13" width="11.7109375" customWidth="1"/>
    <col min="14" max="14" width="13.5703125" customWidth="1"/>
    <col min="15" max="17" width="19.28515625" customWidth="1"/>
    <col min="18" max="18" width="24.85546875" customWidth="1"/>
    <col min="19" max="19" width="18.28515625" customWidth="1"/>
  </cols>
  <sheetData>
    <row r="1" spans="1:5">
      <c r="A1" s="1" t="s">
        <v>30</v>
      </c>
    </row>
    <row r="3" spans="1:5">
      <c r="A3" s="2" t="s">
        <v>1</v>
      </c>
    </row>
    <row r="4" spans="1:5">
      <c r="A4" t="s">
        <v>0</v>
      </c>
      <c r="E4">
        <v>1000</v>
      </c>
    </row>
    <row r="7" spans="1:5">
      <c r="A7" s="2" t="s">
        <v>2</v>
      </c>
    </row>
    <row r="8" spans="1:5">
      <c r="A8" t="s">
        <v>31</v>
      </c>
    </row>
    <row r="9" spans="1:5">
      <c r="A9" t="s">
        <v>32</v>
      </c>
    </row>
    <row r="10" spans="1:5">
      <c r="A10" t="s">
        <v>37</v>
      </c>
      <c r="E10">
        <v>0.98</v>
      </c>
    </row>
    <row r="11" spans="1:5">
      <c r="A11" t="s">
        <v>36</v>
      </c>
      <c r="E11">
        <v>3.5000000000000003E-2</v>
      </c>
    </row>
    <row r="13" spans="1:5">
      <c r="A13" s="2" t="s">
        <v>33</v>
      </c>
    </row>
    <row r="14" spans="1:5">
      <c r="C14" s="2"/>
    </row>
    <row r="15" spans="1:5">
      <c r="A15" t="s">
        <v>34</v>
      </c>
    </row>
    <row r="19" spans="1:19">
      <c r="A19" s="2" t="s">
        <v>3</v>
      </c>
    </row>
    <row r="20" spans="1:19">
      <c r="A20" t="s">
        <v>35</v>
      </c>
      <c r="E20">
        <v>50</v>
      </c>
    </row>
    <row r="21" spans="1:19">
      <c r="A21" t="s">
        <v>4</v>
      </c>
      <c r="E21">
        <v>0.02</v>
      </c>
    </row>
    <row r="22" spans="1:19">
      <c r="A22" t="s">
        <v>5</v>
      </c>
      <c r="E22">
        <v>0.05</v>
      </c>
    </row>
    <row r="23" spans="1:19">
      <c r="A23" t="s">
        <v>46</v>
      </c>
      <c r="E23">
        <v>0.05</v>
      </c>
    </row>
    <row r="24" spans="1:19">
      <c r="A24" t="s">
        <v>6</v>
      </c>
    </row>
    <row r="26" spans="1:19">
      <c r="A26" s="2"/>
      <c r="D26" s="3"/>
    </row>
    <row r="27" spans="1:19">
      <c r="A27" s="2" t="s">
        <v>8</v>
      </c>
      <c r="H27" s="2" t="s">
        <v>38</v>
      </c>
    </row>
    <row r="28" spans="1:19">
      <c r="A28" t="s">
        <v>18</v>
      </c>
      <c r="C28" t="s">
        <v>10</v>
      </c>
      <c r="D28" t="s">
        <v>11</v>
      </c>
      <c r="E28" t="s">
        <v>12</v>
      </c>
      <c r="H28" t="s">
        <v>39</v>
      </c>
      <c r="I28" t="s">
        <v>40</v>
      </c>
      <c r="J28" t="s">
        <v>41</v>
      </c>
      <c r="K28" t="s">
        <v>42</v>
      </c>
      <c r="L28" t="s">
        <v>44</v>
      </c>
      <c r="M28" t="s">
        <v>16</v>
      </c>
      <c r="N28" t="s">
        <v>45</v>
      </c>
      <c r="O28" t="s">
        <v>43</v>
      </c>
      <c r="P28" t="s">
        <v>17</v>
      </c>
      <c r="Q28" t="s">
        <v>47</v>
      </c>
      <c r="R28" t="s">
        <v>21</v>
      </c>
      <c r="S28" t="s">
        <v>48</v>
      </c>
    </row>
    <row r="29" spans="1:19">
      <c r="A29" t="s">
        <v>7</v>
      </c>
      <c r="B29" t="s">
        <v>9</v>
      </c>
      <c r="C29" t="s">
        <v>14</v>
      </c>
      <c r="D29" t="s">
        <v>15</v>
      </c>
      <c r="E29" t="s">
        <v>13</v>
      </c>
      <c r="H29" t="s">
        <v>20</v>
      </c>
    </row>
    <row r="30" spans="1:19">
      <c r="A30">
        <v>60</v>
      </c>
      <c r="B30">
        <f>0.013166*1.15</f>
        <v>1.5140899999999999E-2</v>
      </c>
      <c r="C30">
        <f>B30*E30</f>
        <v>15.140899999999998</v>
      </c>
      <c r="D30">
        <f>E$22*E30</f>
        <v>50</v>
      </c>
      <c r="E30">
        <f>E4</f>
        <v>1000</v>
      </c>
      <c r="H30">
        <v>1</v>
      </c>
      <c r="I30">
        <v>7500000</v>
      </c>
      <c r="J30">
        <f>I30*(1+E$11)^0.5</f>
        <v>7630121.2310159262</v>
      </c>
      <c r="K30">
        <f>B30*J30</f>
        <v>115526.90254668903</v>
      </c>
      <c r="L30">
        <v>0</v>
      </c>
      <c r="M30" s="5">
        <f>E$22*J30*0.98</f>
        <v>373875.94031978038</v>
      </c>
      <c r="N30" s="5">
        <f>K30+L30+M30</f>
        <v>489402.84286646941</v>
      </c>
      <c r="O30">
        <f>(1-B30-E$22)*J30*(1+E$11)^0.5</f>
        <v>7256843.763749999</v>
      </c>
      <c r="P30">
        <f>E$20*(1+E$21)^(H30-1)*(E30-0.5*(D30+C30))</f>
        <v>48371.477500000001</v>
      </c>
      <c r="Q30">
        <f>N30+P30</f>
        <v>537774.32036646944</v>
      </c>
      <c r="R30">
        <f>1/(1+E$23)^(H30-0.5)</f>
        <v>0.97590007294853309</v>
      </c>
      <c r="S30">
        <f>SUMPRODUCT(Q30:Q$35,R30:R$35)</f>
        <v>7222798.3870712575</v>
      </c>
    </row>
    <row r="31" spans="1:19">
      <c r="A31">
        <v>61</v>
      </c>
      <c r="B31">
        <f>0.014564*1.15</f>
        <v>1.6748599999999999E-2</v>
      </c>
      <c r="C31">
        <f t="shared" ref="C31:C34" si="0">B31*E31</f>
        <v>15.65758112226</v>
      </c>
      <c r="D31">
        <f>E$22*E31</f>
        <v>46.742955000000002</v>
      </c>
      <c r="E31">
        <f>E30-C30-D30</f>
        <v>934.85910000000001</v>
      </c>
      <c r="H31">
        <v>2</v>
      </c>
      <c r="I31">
        <f>O30</f>
        <v>7256843.763749999</v>
      </c>
      <c r="J31">
        <f>I31*(1+E$11)^0.5</f>
        <v>7382746.3562605856</v>
      </c>
      <c r="K31">
        <f>B31*J31</f>
        <v>123650.66562246604</v>
      </c>
      <c r="M31" s="5">
        <f>E$22*J31*0.98</f>
        <v>361754.57145676867</v>
      </c>
      <c r="N31" s="5">
        <f>K31+L31+M31</f>
        <v>485405.23707923468</v>
      </c>
      <c r="O31">
        <f>(1-B31-E$22)*J31*(1+E$11)^0.5</f>
        <v>7009495.688174489</v>
      </c>
      <c r="P31">
        <f>E$20*(1+E$21)^(H31-1)*(E31-0.5*(D31+C31))</f>
        <v>46086.600428882368</v>
      </c>
      <c r="Q31">
        <f>N31+P31</f>
        <v>531491.83750811708</v>
      </c>
      <c r="R31">
        <f>1/(1+E$23)^(H31-0.5)</f>
        <v>0.92942864090336497</v>
      </c>
    </row>
    <row r="32" spans="1:19">
      <c r="A32">
        <v>62</v>
      </c>
      <c r="B32">
        <f>0.016016*1.15</f>
        <v>1.8418399999999998E-2</v>
      </c>
      <c r="C32">
        <f t="shared" si="0"/>
        <v>16.069290812925765</v>
      </c>
      <c r="D32">
        <f>E$22*E32</f>
        <v>43.622928193886999</v>
      </c>
      <c r="E32">
        <f t="shared" ref="E32:E35" si="1">E31-C31-D31</f>
        <v>872.45856387773995</v>
      </c>
      <c r="H32">
        <v>3</v>
      </c>
      <c r="I32">
        <f>O31</f>
        <v>7009495.688174489</v>
      </c>
      <c r="J32">
        <f>I32*(1+E$11)^0.5</f>
        <v>7131106.915873968</v>
      </c>
      <c r="K32">
        <f>B32*J32</f>
        <v>131343.57961933309</v>
      </c>
      <c r="M32" s="5">
        <f>E$22*J32*0.98</f>
        <v>349424.23887782445</v>
      </c>
      <c r="N32" s="5">
        <f>K32+L32+M32</f>
        <v>480767.81849715754</v>
      </c>
      <c r="O32">
        <f>(1-B32-E$22)*J32*(1+E$11)^0.5</f>
        <v>6758464.3106760858</v>
      </c>
      <c r="P32">
        <f>E$20*(1+E$21)^(H32-1)*(E32-0.5*(D32+C32))</f>
        <v>43832.699876552826</v>
      </c>
      <c r="Q32">
        <f>N32+P32</f>
        <v>524600.51837371034</v>
      </c>
      <c r="R32">
        <f>1/(1+E$23)^(H32-0.5)</f>
        <v>0.88517013419368074</v>
      </c>
    </row>
    <row r="33" spans="1:18">
      <c r="A33">
        <v>63</v>
      </c>
      <c r="B33">
        <f>0.017404*1.15</f>
        <v>2.0014599999999997E-2</v>
      </c>
      <c r="C33">
        <f t="shared" si="0"/>
        <v>16.267193286053658</v>
      </c>
      <c r="D33">
        <f>E$22*E33</f>
        <v>40.638317243546368</v>
      </c>
      <c r="E33">
        <f t="shared" si="1"/>
        <v>812.76634487092724</v>
      </c>
      <c r="H33">
        <v>4</v>
      </c>
      <c r="I33">
        <f>O32</f>
        <v>6758464.3106760858</v>
      </c>
      <c r="J33">
        <f>I33*(1+E$11)^0.5</f>
        <v>6875720.2701270692</v>
      </c>
      <c r="K33">
        <f>B33*J33</f>
        <v>137614.79091848523</v>
      </c>
      <c r="M33" s="5">
        <f>E$22*J33*0.98</f>
        <v>336910.29323622643</v>
      </c>
      <c r="N33" s="5">
        <f>K33+L33+M33</f>
        <v>474525.08415471169</v>
      </c>
      <c r="O33">
        <f>(1-B33-E$22)*J33*(1+E$11)^0.5</f>
        <v>6505257.6950870669</v>
      </c>
      <c r="P33">
        <f>E$20*(1+E$21)^(H33-1)*(E33-0.5*(D33+C33))</f>
        <v>41615.99278993695</v>
      </c>
      <c r="Q33">
        <f>N33+P33</f>
        <v>516141.07694464864</v>
      </c>
      <c r="R33">
        <f>1/(1+E$23)^(H33-0.5)</f>
        <v>0.843019175422553</v>
      </c>
    </row>
    <row r="34" spans="1:18">
      <c r="A34">
        <v>64</v>
      </c>
      <c r="B34">
        <f>0.018977*1.15</f>
        <v>2.1823550000000001E-2</v>
      </c>
      <c r="C34">
        <f t="shared" si="0"/>
        <v>16.495566711289673</v>
      </c>
      <c r="D34">
        <f>E$22*E34</f>
        <v>37.793041717066366</v>
      </c>
      <c r="E34">
        <f t="shared" si="1"/>
        <v>755.86083434132729</v>
      </c>
      <c r="H34">
        <v>5</v>
      </c>
      <c r="I34">
        <f>O33</f>
        <v>6505257.6950870669</v>
      </c>
      <c r="J34">
        <f>I34*(1+E$11)^0.5</f>
        <v>6618120.6470018076</v>
      </c>
      <c r="K34">
        <f>B34*J34</f>
        <v>144430.88684587629</v>
      </c>
      <c r="M34" s="5">
        <f>E$22*J34*0.98</f>
        <v>324287.91170308855</v>
      </c>
      <c r="N34" s="5">
        <f>K34+L34+M34</f>
        <v>468718.79854896484</v>
      </c>
      <c r="O34">
        <f>(1-B34-E$22)*J34*(1+E$11)^0.5</f>
        <v>6249357.9385427339</v>
      </c>
      <c r="P34">
        <f>E$20*(1+E$21)^(H34-1)*(E34-0.5*(D34+C34))</f>
        <v>39439.310386661768</v>
      </c>
      <c r="Q34">
        <f>N34+P34</f>
        <v>508158.10893562663</v>
      </c>
      <c r="R34">
        <f>1/(1+E$23)^(H34-0.5)</f>
        <v>0.80287540516433631</v>
      </c>
    </row>
    <row r="35" spans="1:18">
      <c r="A35">
        <v>65</v>
      </c>
      <c r="E35">
        <f t="shared" si="1"/>
        <v>701.57222591297125</v>
      </c>
      <c r="L35">
        <f>O34</f>
        <v>6249357.9385427339</v>
      </c>
      <c r="Q35">
        <f>L35</f>
        <v>6249357.9385427339</v>
      </c>
      <c r="R35">
        <f>1/(1+E$23)^H34</f>
        <v>0.78352616646845896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5"/>
  <sheetViews>
    <sheetView topLeftCell="L21" workbookViewId="0">
      <selection activeCell="O34" sqref="O34"/>
    </sheetView>
  </sheetViews>
  <sheetFormatPr defaultRowHeight="15"/>
  <cols>
    <col min="5" max="5" width="10.140625" customWidth="1"/>
    <col min="9" max="9" width="21.85546875" customWidth="1"/>
    <col min="10" max="10" width="21.140625" customWidth="1"/>
    <col min="11" max="12" width="16.5703125" customWidth="1"/>
    <col min="13" max="13" width="11.7109375" customWidth="1"/>
    <col min="14" max="14" width="13.5703125" customWidth="1"/>
    <col min="15" max="17" width="19.28515625" customWidth="1"/>
    <col min="18" max="18" width="24.85546875" customWidth="1"/>
    <col min="19" max="19" width="18.28515625" customWidth="1"/>
  </cols>
  <sheetData>
    <row r="1" spans="1:5">
      <c r="A1" s="1" t="s">
        <v>30</v>
      </c>
    </row>
    <row r="3" spans="1:5">
      <c r="A3" s="2" t="s">
        <v>1</v>
      </c>
    </row>
    <row r="4" spans="1:5">
      <c r="A4" t="s">
        <v>0</v>
      </c>
      <c r="E4">
        <v>1000</v>
      </c>
    </row>
    <row r="7" spans="1:5">
      <c r="A7" s="2" t="s">
        <v>2</v>
      </c>
    </row>
    <row r="8" spans="1:5">
      <c r="A8" t="s">
        <v>31</v>
      </c>
    </row>
    <row r="9" spans="1:5">
      <c r="A9" t="s">
        <v>32</v>
      </c>
    </row>
    <row r="10" spans="1:5">
      <c r="A10" t="s">
        <v>37</v>
      </c>
      <c r="E10">
        <v>0.98</v>
      </c>
    </row>
    <row r="11" spans="1:5">
      <c r="A11" t="s">
        <v>36</v>
      </c>
      <c r="E11">
        <v>3.5000000000000003E-2</v>
      </c>
    </row>
    <row r="13" spans="1:5">
      <c r="A13" s="2" t="s">
        <v>33</v>
      </c>
    </row>
    <row r="14" spans="1:5">
      <c r="C14" s="2"/>
    </row>
    <row r="15" spans="1:5">
      <c r="A15" t="s">
        <v>34</v>
      </c>
    </row>
    <row r="19" spans="1:19">
      <c r="A19" s="2" t="s">
        <v>3</v>
      </c>
    </row>
    <row r="20" spans="1:19">
      <c r="A20" t="s">
        <v>35</v>
      </c>
      <c r="E20">
        <v>50</v>
      </c>
    </row>
    <row r="21" spans="1:19">
      <c r="A21" t="s">
        <v>4</v>
      </c>
      <c r="E21">
        <v>0.02</v>
      </c>
    </row>
    <row r="22" spans="1:19">
      <c r="A22" t="s">
        <v>5</v>
      </c>
      <c r="E22">
        <v>0.05</v>
      </c>
    </row>
    <row r="23" spans="1:19">
      <c r="A23" t="s">
        <v>46</v>
      </c>
      <c r="E23">
        <v>0.05</v>
      </c>
    </row>
    <row r="24" spans="1:19">
      <c r="A24" t="s">
        <v>6</v>
      </c>
    </row>
    <row r="26" spans="1:19">
      <c r="A26" s="2"/>
      <c r="D26" s="3"/>
    </row>
    <row r="27" spans="1:19">
      <c r="A27" s="2" t="s">
        <v>8</v>
      </c>
      <c r="H27" s="2" t="s">
        <v>38</v>
      </c>
    </row>
    <row r="28" spans="1:19">
      <c r="A28" t="s">
        <v>18</v>
      </c>
      <c r="C28" t="s">
        <v>10</v>
      </c>
      <c r="D28" t="s">
        <v>11</v>
      </c>
      <c r="E28" t="s">
        <v>12</v>
      </c>
      <c r="H28" t="s">
        <v>39</v>
      </c>
      <c r="I28" t="s">
        <v>40</v>
      </c>
      <c r="J28" t="s">
        <v>41</v>
      </c>
      <c r="K28" t="s">
        <v>42</v>
      </c>
      <c r="L28" t="s">
        <v>44</v>
      </c>
      <c r="M28" t="s">
        <v>16</v>
      </c>
      <c r="N28" t="s">
        <v>45</v>
      </c>
      <c r="O28" t="s">
        <v>43</v>
      </c>
      <c r="P28" t="s">
        <v>17</v>
      </c>
      <c r="Q28" t="s">
        <v>47</v>
      </c>
      <c r="R28" t="s">
        <v>21</v>
      </c>
      <c r="S28" t="s">
        <v>48</v>
      </c>
    </row>
    <row r="29" spans="1:19">
      <c r="A29" t="s">
        <v>7</v>
      </c>
      <c r="B29" t="s">
        <v>9</v>
      </c>
      <c r="C29" t="s">
        <v>14</v>
      </c>
      <c r="D29" t="s">
        <v>15</v>
      </c>
      <c r="E29" t="s">
        <v>13</v>
      </c>
      <c r="H29" t="s">
        <v>20</v>
      </c>
    </row>
    <row r="30" spans="1:19">
      <c r="A30">
        <v>60</v>
      </c>
      <c r="B30">
        <f>0.013166*0.8</f>
        <v>1.0532800000000002E-2</v>
      </c>
      <c r="C30">
        <f>B30*E30</f>
        <v>10.532800000000002</v>
      </c>
      <c r="D30">
        <f>E$22*E30</f>
        <v>50</v>
      </c>
      <c r="E30">
        <f>E4</f>
        <v>1000</v>
      </c>
      <c r="H30">
        <v>1</v>
      </c>
      <c r="I30">
        <v>7500000</v>
      </c>
      <c r="J30">
        <f>I30*(1+E$11)^0.5</f>
        <v>7630121.2310159262</v>
      </c>
      <c r="K30">
        <f>B30*J30</f>
        <v>80366.540902044566</v>
      </c>
      <c r="L30">
        <v>0</v>
      </c>
      <c r="M30" s="5">
        <f>E$22*J30*0.98</f>
        <v>373875.94031978038</v>
      </c>
      <c r="N30" s="5">
        <f>K30+L30+M30</f>
        <v>454242.48122182494</v>
      </c>
      <c r="O30">
        <f>(1-B30-E$22)*J30*(1+E$11)^0.5</f>
        <v>7292614.1399999987</v>
      </c>
      <c r="P30">
        <f>E$20*(1+E$21)^(H30-1)*(E30-0.5*(D30+C30))</f>
        <v>48486.68</v>
      </c>
      <c r="Q30">
        <f>N30+P30</f>
        <v>502729.16122182494</v>
      </c>
      <c r="R30">
        <f>1/(1+E$23)^(H30-0.5)</f>
        <v>0.97590007294853309</v>
      </c>
      <c r="S30">
        <f>SUMPRODUCT(Q30:Q$35,R30:R$35)</f>
        <v>7219281.4763328731</v>
      </c>
    </row>
    <row r="31" spans="1:19">
      <c r="A31">
        <v>61</v>
      </c>
      <c r="B31">
        <f>0.014564*0.8</f>
        <v>1.16512E-2</v>
      </c>
      <c r="C31">
        <f t="shared" ref="C31:C34" si="0">B31*E31</f>
        <v>10.945920240640001</v>
      </c>
      <c r="D31">
        <f>E$22*E31</f>
        <v>46.973360000000007</v>
      </c>
      <c r="E31">
        <f>E30-C30-D30</f>
        <v>939.46720000000005</v>
      </c>
      <c r="H31">
        <v>2</v>
      </c>
      <c r="I31">
        <f>O30</f>
        <v>7292614.1399999987</v>
      </c>
      <c r="J31">
        <f>I31*(1+E$11)^0.5</f>
        <v>7419137.3305627927</v>
      </c>
      <c r="K31">
        <f>B31*J31</f>
        <v>86441.852865853216</v>
      </c>
      <c r="M31" s="5">
        <f>E$22*J31*0.98</f>
        <v>363537.72919757687</v>
      </c>
      <c r="N31" s="5">
        <f>K31+L31+M31</f>
        <v>449979.58206343011</v>
      </c>
      <c r="O31">
        <f>(1-B31-E$22)*J31*(1+E$11)^0.5</f>
        <v>7082521.2775816517</v>
      </c>
      <c r="P31">
        <f>E$20*(1+E$21)^(H31-1)*(E31-0.5*(D31+C31))</f>
        <v>46435.885553863678</v>
      </c>
      <c r="Q31">
        <f>N31+P31</f>
        <v>496415.46761729376</v>
      </c>
      <c r="R31">
        <f>1/(1+E$23)^(H31-0.5)</f>
        <v>0.92942864090336497</v>
      </c>
    </row>
    <row r="32" spans="1:19">
      <c r="A32">
        <v>62</v>
      </c>
      <c r="B32">
        <f>0.016016*0.8</f>
        <v>1.2812799999999999E-2</v>
      </c>
      <c r="C32">
        <f t="shared" si="0"/>
        <v>11.295097186292727</v>
      </c>
      <c r="D32">
        <f>E$22*E32</f>
        <v>44.077395987968004</v>
      </c>
      <c r="E32">
        <f t="shared" ref="E32:E35" si="1">E31-C31-D31</f>
        <v>881.54791975936007</v>
      </c>
      <c r="H32">
        <v>3</v>
      </c>
      <c r="I32">
        <f>O31</f>
        <v>7082521.2775816517</v>
      </c>
      <c r="J32">
        <f>I32*(1+E$11)^0.5</f>
        <v>7205399.4625597075</v>
      </c>
      <c r="K32">
        <f>B32*J32</f>
        <v>92321.342233885007</v>
      </c>
      <c r="M32" s="5">
        <f>E$22*J32*0.98</f>
        <v>353064.57366542565</v>
      </c>
      <c r="N32" s="5">
        <f>K32+L32+M32</f>
        <v>445385.91589931067</v>
      </c>
      <c r="O32">
        <f>(1-B32-E$22)*J32*(1+E$11)^0.5</f>
        <v>6869965.9750548722</v>
      </c>
      <c r="P32">
        <f>E$20*(1+E$21)^(H32-1)*(E32-0.5*(D32+C32))</f>
        <v>44417.884238419392</v>
      </c>
      <c r="Q32">
        <f>N32+P32</f>
        <v>489803.80013773008</v>
      </c>
      <c r="R32">
        <f>1/(1+E$23)^(H32-0.5)</f>
        <v>0.88517013419368074</v>
      </c>
    </row>
    <row r="33" spans="1:18">
      <c r="A33">
        <v>63</v>
      </c>
      <c r="B33">
        <f>0.017404*0.8</f>
        <v>1.39232E-2</v>
      </c>
      <c r="C33">
        <f t="shared" si="0"/>
        <v>11.503005699429655</v>
      </c>
      <c r="D33">
        <f>E$22*E33</f>
        <v>41.308771329254967</v>
      </c>
      <c r="E33">
        <f t="shared" si="1"/>
        <v>826.17542658509933</v>
      </c>
      <c r="H33">
        <v>4</v>
      </c>
      <c r="I33">
        <f>O32</f>
        <v>6869965.9750548722</v>
      </c>
      <c r="J33">
        <f>I33*(1+E$11)^0.5</f>
        <v>6989156.4323497619</v>
      </c>
      <c r="K33">
        <f>B33*J33</f>
        <v>97311.422838892206</v>
      </c>
      <c r="M33" s="5">
        <f>E$22*J33*0.98</f>
        <v>342468.66518513835</v>
      </c>
      <c r="N33" s="5">
        <f>K33+L33+M33</f>
        <v>439780.08802403056</v>
      </c>
      <c r="O33">
        <f>(1-B33-E$22)*J33*(1+E$11)^0.5</f>
        <v>6655894.317849583</v>
      </c>
      <c r="P33">
        <f>E$20*(1+E$21)^(H33-1)*(E33-0.5*(D33+C33))</f>
        <v>42436.09159784959</v>
      </c>
      <c r="Q33">
        <f>N33+P33</f>
        <v>482216.17962188018</v>
      </c>
      <c r="R33">
        <f>1/(1+E$23)^(H33-0.5)</f>
        <v>0.843019175422553</v>
      </c>
    </row>
    <row r="34" spans="1:18">
      <c r="A34">
        <v>64</v>
      </c>
      <c r="B34">
        <f>0.018977*0.8</f>
        <v>1.5181600000000002E-2</v>
      </c>
      <c r="C34">
        <f t="shared" si="0"/>
        <v>11.740897582105665</v>
      </c>
      <c r="D34">
        <f>E$22*E34</f>
        <v>38.668182477820736</v>
      </c>
      <c r="E34">
        <f t="shared" si="1"/>
        <v>773.36364955641466</v>
      </c>
      <c r="H34">
        <v>5</v>
      </c>
      <c r="I34">
        <f>O33</f>
        <v>6655894.317849583</v>
      </c>
      <c r="J34">
        <f>I34*(1+E$11)^0.5</f>
        <v>6771370.7394696493</v>
      </c>
      <c r="K34">
        <f>B34*J34</f>
        <v>102800.24201833244</v>
      </c>
      <c r="M34" s="5">
        <f>E$22*J34*0.98</f>
        <v>331797.16623401281</v>
      </c>
      <c r="N34" s="5">
        <f>K34+L34+M34</f>
        <v>434597.40825234528</v>
      </c>
      <c r="O34">
        <f>(1-B34-E$22)*J34*(1+E$11)^0.5</f>
        <v>6439824.3134685811</v>
      </c>
      <c r="P34">
        <f>E$20*(1+E$21)^(H34-1)*(E34-0.5*(D34+C34))</f>
        <v>40491.574047419672</v>
      </c>
      <c r="Q34">
        <f>N34+P34</f>
        <v>475088.98229976493</v>
      </c>
      <c r="R34">
        <f>1/(1+E$23)^(H34-0.5)</f>
        <v>0.80287540516433631</v>
      </c>
    </row>
    <row r="35" spans="1:18">
      <c r="A35">
        <v>65</v>
      </c>
      <c r="E35">
        <f t="shared" si="1"/>
        <v>722.95456949648826</v>
      </c>
      <c r="L35">
        <f>O34</f>
        <v>6439824.3134685811</v>
      </c>
      <c r="Q35">
        <f>L35</f>
        <v>6439824.3134685811</v>
      </c>
      <c r="R35">
        <f>1/(1+E$23)^H34</f>
        <v>0.78352616646845896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5"/>
  <sheetViews>
    <sheetView topLeftCell="K20" workbookViewId="0">
      <selection activeCell="O33" sqref="O33"/>
    </sheetView>
  </sheetViews>
  <sheetFormatPr defaultRowHeight="15"/>
  <cols>
    <col min="5" max="5" width="10.140625" customWidth="1"/>
    <col min="9" max="9" width="21.85546875" customWidth="1"/>
    <col min="10" max="10" width="21.140625" customWidth="1"/>
    <col min="11" max="12" width="16.5703125" customWidth="1"/>
    <col min="13" max="13" width="11.7109375" customWidth="1"/>
    <col min="14" max="14" width="13.5703125" customWidth="1"/>
    <col min="15" max="17" width="19.28515625" customWidth="1"/>
    <col min="18" max="18" width="24.85546875" customWidth="1"/>
    <col min="19" max="19" width="18.28515625" customWidth="1"/>
  </cols>
  <sheetData>
    <row r="1" spans="1:5">
      <c r="A1" s="1" t="s">
        <v>30</v>
      </c>
    </row>
    <row r="3" spans="1:5">
      <c r="A3" s="2" t="s">
        <v>1</v>
      </c>
    </row>
    <row r="4" spans="1:5">
      <c r="A4" t="s">
        <v>0</v>
      </c>
      <c r="E4">
        <v>1000</v>
      </c>
    </row>
    <row r="7" spans="1:5">
      <c r="A7" s="2" t="s">
        <v>2</v>
      </c>
    </row>
    <row r="8" spans="1:5">
      <c r="A8" t="s">
        <v>31</v>
      </c>
    </row>
    <row r="9" spans="1:5">
      <c r="A9" t="s">
        <v>32</v>
      </c>
    </row>
    <row r="10" spans="1:5">
      <c r="A10" t="s">
        <v>37</v>
      </c>
      <c r="E10">
        <v>0.98</v>
      </c>
    </row>
    <row r="11" spans="1:5">
      <c r="A11" t="s">
        <v>36</v>
      </c>
      <c r="E11">
        <v>3.5000000000000003E-2</v>
      </c>
    </row>
    <row r="13" spans="1:5">
      <c r="A13" s="2" t="s">
        <v>33</v>
      </c>
    </row>
    <row r="14" spans="1:5">
      <c r="C14" s="2"/>
    </row>
    <row r="15" spans="1:5">
      <c r="A15" t="s">
        <v>34</v>
      </c>
    </row>
    <row r="19" spans="1:19">
      <c r="A19" s="2" t="s">
        <v>3</v>
      </c>
    </row>
    <row r="20" spans="1:19">
      <c r="A20" t="s">
        <v>35</v>
      </c>
      <c r="E20">
        <v>50</v>
      </c>
    </row>
    <row r="21" spans="1:19">
      <c r="A21" t="s">
        <v>4</v>
      </c>
      <c r="E21">
        <v>0.02</v>
      </c>
    </row>
    <row r="22" spans="1:19">
      <c r="A22" t="s">
        <v>5</v>
      </c>
      <c r="E22">
        <v>0.05</v>
      </c>
    </row>
    <row r="23" spans="1:19">
      <c r="A23" t="s">
        <v>46</v>
      </c>
      <c r="E23">
        <v>0.05</v>
      </c>
    </row>
    <row r="24" spans="1:19">
      <c r="A24" t="s">
        <v>6</v>
      </c>
    </row>
    <row r="26" spans="1:19">
      <c r="A26" s="2"/>
      <c r="D26" s="3"/>
    </row>
    <row r="27" spans="1:19">
      <c r="A27" s="2" t="s">
        <v>8</v>
      </c>
      <c r="H27" s="2" t="s">
        <v>38</v>
      </c>
    </row>
    <row r="28" spans="1:19">
      <c r="A28" t="s">
        <v>18</v>
      </c>
      <c r="C28" t="s">
        <v>10</v>
      </c>
      <c r="D28" t="s">
        <v>11</v>
      </c>
      <c r="E28" t="s">
        <v>12</v>
      </c>
      <c r="H28" t="s">
        <v>39</v>
      </c>
      <c r="I28" t="s">
        <v>40</v>
      </c>
      <c r="J28" t="s">
        <v>41</v>
      </c>
      <c r="K28" t="s">
        <v>42</v>
      </c>
      <c r="L28" t="s">
        <v>44</v>
      </c>
      <c r="M28" t="s">
        <v>16</v>
      </c>
      <c r="N28" t="s">
        <v>45</v>
      </c>
      <c r="O28" t="s">
        <v>43</v>
      </c>
      <c r="P28" t="s">
        <v>17</v>
      </c>
      <c r="Q28" t="s">
        <v>47</v>
      </c>
      <c r="R28" t="s">
        <v>21</v>
      </c>
      <c r="S28" t="s">
        <v>48</v>
      </c>
    </row>
    <row r="29" spans="1:19">
      <c r="A29" t="s">
        <v>7</v>
      </c>
      <c r="B29" t="s">
        <v>9</v>
      </c>
      <c r="C29" t="s">
        <v>14</v>
      </c>
      <c r="D29" t="s">
        <v>15</v>
      </c>
      <c r="E29" t="s">
        <v>13</v>
      </c>
      <c r="H29" t="s">
        <v>20</v>
      </c>
    </row>
    <row r="30" spans="1:19">
      <c r="A30">
        <v>60</v>
      </c>
      <c r="B30">
        <f>0.013166+0.0015</f>
        <v>1.4666E-2</v>
      </c>
      <c r="C30">
        <f>B30*E30</f>
        <v>14.666</v>
      </c>
      <c r="D30">
        <f>E$22*E30</f>
        <v>50</v>
      </c>
      <c r="E30">
        <f>E4</f>
        <v>1000</v>
      </c>
      <c r="H30">
        <v>1</v>
      </c>
      <c r="I30">
        <v>7500000</v>
      </c>
      <c r="J30">
        <f>I30*(1+E$11)^0.5</f>
        <v>7630121.2310159262</v>
      </c>
      <c r="K30">
        <f>B30*J30</f>
        <v>111903.35797407957</v>
      </c>
      <c r="L30">
        <v>0</v>
      </c>
      <c r="M30" s="5">
        <f>E$22*J30*0.98</f>
        <v>373875.94031978038</v>
      </c>
      <c r="N30" s="5">
        <f>K30+L30+M30</f>
        <v>485779.29829385993</v>
      </c>
      <c r="O30">
        <f>(1-B30-E$22)*J30*(1+E$11)^0.5</f>
        <v>7260530.1749999998</v>
      </c>
      <c r="P30">
        <f>E$20*(1+E$21)^(H30-1)*(E30-0.5*(D30+C30))</f>
        <v>48383.35</v>
      </c>
      <c r="Q30">
        <f>N30+P30</f>
        <v>534162.64829385991</v>
      </c>
      <c r="R30">
        <f>1/(1+E$23)^(H30-0.5)</f>
        <v>0.97590007294853309</v>
      </c>
      <c r="S30">
        <f>SUMPRODUCT(Q30:Q$35,R30:R$35)</f>
        <v>7221684.1472769883</v>
      </c>
    </row>
    <row r="31" spans="1:19">
      <c r="A31">
        <v>61</v>
      </c>
      <c r="B31">
        <v>1.4564000000000001E-2</v>
      </c>
      <c r="C31">
        <f t="shared" ref="C31:C34" si="0">B31*E31</f>
        <v>13.622204375999999</v>
      </c>
      <c r="D31">
        <f>E$22*E31</f>
        <v>46.7667</v>
      </c>
      <c r="E31">
        <f>E30-C30-D30</f>
        <v>935.33399999999995</v>
      </c>
      <c r="H31">
        <v>2</v>
      </c>
      <c r="I31">
        <f>O30</f>
        <v>7260530.1749999998</v>
      </c>
      <c r="J31">
        <f>I31*(1+E$11)^0.5</f>
        <v>7386496.7248932375</v>
      </c>
      <c r="K31">
        <f>B31*J31</f>
        <v>107576.93830134512</v>
      </c>
      <c r="M31" s="5">
        <f>E$22*J31*0.98</f>
        <v>361938.33951976866</v>
      </c>
      <c r="N31" s="5">
        <f>K31+L31+M31</f>
        <v>469515.27782111376</v>
      </c>
      <c r="O31">
        <f>(1-B31-E$22)*J31*(1+E$11)^0.5</f>
        <v>7029472.9504486443</v>
      </c>
      <c r="P31">
        <f>E$20*(1+E$21)^(H31-1)*(E31-0.5*(D31+C31))</f>
        <v>46162.116938411993</v>
      </c>
      <c r="Q31">
        <f>N31+P31</f>
        <v>515677.39475952578</v>
      </c>
      <c r="R31">
        <f>1/(1+E$23)^(H31-0.5)</f>
        <v>0.92942864090336497</v>
      </c>
    </row>
    <row r="32" spans="1:19">
      <c r="A32">
        <v>62</v>
      </c>
      <c r="B32">
        <v>1.6015999999999999E-2</v>
      </c>
      <c r="C32">
        <f t="shared" si="0"/>
        <v>14.013120651513981</v>
      </c>
      <c r="D32">
        <f>E$22*E32</f>
        <v>43.747254781199999</v>
      </c>
      <c r="E32">
        <f t="shared" ref="E32:E35" si="1">E31-C31-D31</f>
        <v>874.94509562399992</v>
      </c>
      <c r="H32">
        <v>3</v>
      </c>
      <c r="I32">
        <f>O31</f>
        <v>7029472.9504486443</v>
      </c>
      <c r="J32">
        <f>I32*(1+E$11)^0.5</f>
        <v>7151430.7736093821</v>
      </c>
      <c r="K32">
        <f>B32*J32</f>
        <v>114537.31527012786</v>
      </c>
      <c r="M32" s="5">
        <f>E$22*J32*0.98</f>
        <v>350420.10790685978</v>
      </c>
      <c r="N32" s="5">
        <f>K32+L32+M32</f>
        <v>464957.42317698762</v>
      </c>
      <c r="O32">
        <f>(1-B32-E$22)*J32*(1+E$11)^0.5</f>
        <v>6795204.7983971396</v>
      </c>
      <c r="P32">
        <f>E$20*(1+E$21)^(H32-1)*(E32-0.5*(D32+C32))</f>
        <v>44012.296509355583</v>
      </c>
      <c r="Q32">
        <f>N32+P32</f>
        <v>508969.71968634322</v>
      </c>
      <c r="R32">
        <f>1/(1+E$23)^(H32-0.5)</f>
        <v>0.88517013419368074</v>
      </c>
    </row>
    <row r="33" spans="1:18">
      <c r="A33">
        <v>63</v>
      </c>
      <c r="B33">
        <v>1.7403999999999999E-2</v>
      </c>
      <c r="C33">
        <f t="shared" si="0"/>
        <v>14.22228287020914</v>
      </c>
      <c r="D33">
        <f>E$22*E33</f>
        <v>40.859236009564299</v>
      </c>
      <c r="E33">
        <f t="shared" si="1"/>
        <v>817.18472019128592</v>
      </c>
      <c r="H33">
        <v>4</v>
      </c>
      <c r="I33">
        <f>O32</f>
        <v>6795204.7983971396</v>
      </c>
      <c r="J33">
        <f>I33*(1+E$11)^0.5</f>
        <v>6913098.1868468421</v>
      </c>
      <c r="K33">
        <f>B33*J33</f>
        <v>120315.56084388243</v>
      </c>
      <c r="M33" s="5">
        <f>E$22*J33*0.98</f>
        <v>338741.81115549529</v>
      </c>
      <c r="N33" s="5">
        <f>K33+L33+M33</f>
        <v>459057.37199937773</v>
      </c>
      <c r="O33">
        <f>(1-B33-E$22)*J33*(1+E$11)^0.5</f>
        <v>6558982.1426617876</v>
      </c>
      <c r="P33">
        <f>E$20*(1+E$21)^(H33-1)*(E33-0.5*(D33+C33))</f>
        <v>41898.824415053532</v>
      </c>
      <c r="Q33">
        <f>N33+P33</f>
        <v>500956.19641443127</v>
      </c>
      <c r="R33">
        <f>1/(1+E$23)^(H33-0.5)</f>
        <v>0.843019175422553</v>
      </c>
    </row>
    <row r="34" spans="1:18">
      <c r="A34">
        <v>64</v>
      </c>
      <c r="B34">
        <v>1.8977000000000001E-2</v>
      </c>
      <c r="C34">
        <f t="shared" si="0"/>
        <v>14.462432451288574</v>
      </c>
      <c r="D34">
        <f>E$22*E34</f>
        <v>38.105160065575625</v>
      </c>
      <c r="E34">
        <f t="shared" si="1"/>
        <v>762.10320131151252</v>
      </c>
      <c r="H34">
        <v>5</v>
      </c>
      <c r="I34">
        <f>O33</f>
        <v>6558982.1426617876</v>
      </c>
      <c r="J34">
        <f>I34*(1+E$11)^0.5</f>
        <v>6672777.1867437381</v>
      </c>
      <c r="K34">
        <f>B34*J34</f>
        <v>126629.29267283593</v>
      </c>
      <c r="M34" s="5">
        <f>E$22*J34*0.98</f>
        <v>326966.08215044317</v>
      </c>
      <c r="N34" s="5">
        <f>K34+L34+M34</f>
        <v>453595.3748232791</v>
      </c>
      <c r="O34">
        <f>(1-B34-E$22)*J34*(1+E$11)^0.5</f>
        <v>6320292.9445066638</v>
      </c>
      <c r="P34">
        <f>E$20*(1+E$21)^(H34-1)*(E34-0.5*(D34+C34))</f>
        <v>39823.729399076045</v>
      </c>
      <c r="Q34">
        <f>N34+P34</f>
        <v>493419.10422235512</v>
      </c>
      <c r="R34">
        <f>1/(1+E$23)^(H34-0.5)</f>
        <v>0.80287540516433631</v>
      </c>
    </row>
    <row r="35" spans="1:18">
      <c r="A35">
        <v>65</v>
      </c>
      <c r="E35">
        <f t="shared" si="1"/>
        <v>709.53560879464828</v>
      </c>
      <c r="L35">
        <f>O34</f>
        <v>6320292.9445066638</v>
      </c>
      <c r="Q35">
        <f>L35</f>
        <v>6320292.9445066638</v>
      </c>
      <c r="R35">
        <f>1/(1+E$23)^H34</f>
        <v>0.78352616646845896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5"/>
  <sheetViews>
    <sheetView topLeftCell="L16" workbookViewId="0">
      <selection activeCell="O33" sqref="O33"/>
    </sheetView>
  </sheetViews>
  <sheetFormatPr defaultRowHeight="15"/>
  <cols>
    <col min="5" max="5" width="10.140625" customWidth="1"/>
    <col min="9" max="9" width="21.85546875" customWidth="1"/>
    <col min="10" max="10" width="21.140625" customWidth="1"/>
    <col min="11" max="12" width="16.5703125" customWidth="1"/>
    <col min="13" max="13" width="11.7109375" customWidth="1"/>
    <col min="14" max="14" width="13.5703125" customWidth="1"/>
    <col min="15" max="17" width="19.28515625" customWidth="1"/>
    <col min="18" max="18" width="24.85546875" customWidth="1"/>
    <col min="19" max="19" width="18.28515625" customWidth="1"/>
  </cols>
  <sheetData>
    <row r="1" spans="1:5">
      <c r="A1" s="1" t="s">
        <v>30</v>
      </c>
    </row>
    <row r="3" spans="1:5">
      <c r="A3" s="2" t="s">
        <v>1</v>
      </c>
    </row>
    <row r="4" spans="1:5">
      <c r="A4" t="s">
        <v>0</v>
      </c>
      <c r="E4">
        <v>1000</v>
      </c>
    </row>
    <row r="7" spans="1:5">
      <c r="A7" s="2" t="s">
        <v>2</v>
      </c>
    </row>
    <row r="8" spans="1:5">
      <c r="A8" t="s">
        <v>31</v>
      </c>
    </row>
    <row r="9" spans="1:5">
      <c r="A9" t="s">
        <v>32</v>
      </c>
    </row>
    <row r="10" spans="1:5">
      <c r="A10" t="s">
        <v>37</v>
      </c>
      <c r="E10">
        <v>0.98</v>
      </c>
    </row>
    <row r="11" spans="1:5">
      <c r="A11" t="s">
        <v>36</v>
      </c>
      <c r="E11">
        <v>3.5000000000000003E-2</v>
      </c>
    </row>
    <row r="13" spans="1:5">
      <c r="A13" s="2" t="s">
        <v>33</v>
      </c>
    </row>
    <row r="14" spans="1:5">
      <c r="C14" s="2"/>
    </row>
    <row r="15" spans="1:5">
      <c r="A15" t="s">
        <v>34</v>
      </c>
    </row>
    <row r="19" spans="1:19">
      <c r="A19" s="2" t="s">
        <v>3</v>
      </c>
    </row>
    <row r="20" spans="1:19">
      <c r="A20" t="s">
        <v>35</v>
      </c>
      <c r="E20">
        <f>50*1.1</f>
        <v>55.000000000000007</v>
      </c>
    </row>
    <row r="21" spans="1:19">
      <c r="A21" t="s">
        <v>4</v>
      </c>
      <c r="E21">
        <f>0.02+0.01</f>
        <v>0.03</v>
      </c>
    </row>
    <row r="22" spans="1:19">
      <c r="A22" t="s">
        <v>5</v>
      </c>
      <c r="E22">
        <v>0.05</v>
      </c>
    </row>
    <row r="23" spans="1:19">
      <c r="A23" t="s">
        <v>46</v>
      </c>
      <c r="E23">
        <v>0.05</v>
      </c>
    </row>
    <row r="24" spans="1:19">
      <c r="A24" t="s">
        <v>6</v>
      </c>
    </row>
    <row r="26" spans="1:19">
      <c r="A26" s="2"/>
      <c r="D26" s="3"/>
    </row>
    <row r="27" spans="1:19">
      <c r="A27" s="2" t="s">
        <v>8</v>
      </c>
      <c r="H27" s="2" t="s">
        <v>38</v>
      </c>
    </row>
    <row r="28" spans="1:19">
      <c r="A28" t="s">
        <v>18</v>
      </c>
      <c r="C28" t="s">
        <v>10</v>
      </c>
      <c r="D28" t="s">
        <v>11</v>
      </c>
      <c r="E28" t="s">
        <v>12</v>
      </c>
      <c r="H28" t="s">
        <v>39</v>
      </c>
      <c r="I28" t="s">
        <v>40</v>
      </c>
      <c r="J28" t="s">
        <v>41</v>
      </c>
      <c r="K28" t="s">
        <v>42</v>
      </c>
      <c r="L28" t="s">
        <v>44</v>
      </c>
      <c r="M28" t="s">
        <v>16</v>
      </c>
      <c r="N28" t="s">
        <v>45</v>
      </c>
      <c r="O28" t="s">
        <v>43</v>
      </c>
      <c r="P28" t="s">
        <v>17</v>
      </c>
      <c r="Q28" t="s">
        <v>47</v>
      </c>
      <c r="R28" t="s">
        <v>21</v>
      </c>
      <c r="S28" t="s">
        <v>48</v>
      </c>
    </row>
    <row r="29" spans="1:19">
      <c r="A29" t="s">
        <v>7</v>
      </c>
      <c r="B29" t="s">
        <v>9</v>
      </c>
      <c r="C29" t="s">
        <v>14</v>
      </c>
      <c r="D29" t="s">
        <v>15</v>
      </c>
      <c r="E29" t="s">
        <v>13</v>
      </c>
      <c r="H29" t="s">
        <v>20</v>
      </c>
    </row>
    <row r="30" spans="1:19">
      <c r="A30">
        <v>60</v>
      </c>
      <c r="B30">
        <v>1.3166000000000001E-2</v>
      </c>
      <c r="C30">
        <f>B30*E30</f>
        <v>13.166</v>
      </c>
      <c r="D30">
        <f>E$22*E30</f>
        <v>50</v>
      </c>
      <c r="E30">
        <f>E4</f>
        <v>1000</v>
      </c>
      <c r="H30">
        <v>1</v>
      </c>
      <c r="I30">
        <v>7500000</v>
      </c>
      <c r="J30">
        <f>I30*(1+E$11)^0.5</f>
        <v>7630121.2310159262</v>
      </c>
      <c r="K30">
        <f>B30*J30</f>
        <v>100458.17612755569</v>
      </c>
      <c r="L30">
        <v>0</v>
      </c>
      <c r="M30" s="5">
        <f>E$22*J30*0.98</f>
        <v>373875.94031978038</v>
      </c>
      <c r="N30" s="5">
        <f>K30+L30+M30</f>
        <v>474334.11644733604</v>
      </c>
      <c r="O30">
        <f>(1-B30-E$22)*J30*(1+E$11)^0.5</f>
        <v>7272173.9249999989</v>
      </c>
      <c r="P30">
        <f>E$20*(1+E$21)^(H30-1)*(E30-0.5*(D30+C30))</f>
        <v>53262.935000000005</v>
      </c>
      <c r="Q30">
        <f>N30+P30</f>
        <v>527597.0514473361</v>
      </c>
      <c r="R30">
        <f>1/(1+E$23)^(H30-0.5)</f>
        <v>0.97590007294853309</v>
      </c>
      <c r="S30">
        <f>SUMPRODUCT(Q30:Q$35,R30:R$35)</f>
        <v>7244828.879346868</v>
      </c>
    </row>
    <row r="31" spans="1:19">
      <c r="A31">
        <v>61</v>
      </c>
      <c r="B31">
        <v>1.4564000000000001E-2</v>
      </c>
      <c r="C31">
        <f t="shared" ref="C31:C34" si="0">B31*E31</f>
        <v>13.644050375999999</v>
      </c>
      <c r="D31">
        <f>E$22*E31</f>
        <v>46.841700000000003</v>
      </c>
      <c r="E31">
        <f>E30-C30-D30</f>
        <v>936.83399999999995</v>
      </c>
      <c r="H31">
        <v>2</v>
      </c>
      <c r="I31">
        <f>O30</f>
        <v>7272173.9249999989</v>
      </c>
      <c r="J31">
        <f>I31*(1+E$11)^0.5</f>
        <v>7398342.488104389</v>
      </c>
      <c r="K31">
        <f>B31*J31</f>
        <v>107749.45999675232</v>
      </c>
      <c r="M31" s="5">
        <f>E$22*J31*0.98</f>
        <v>362518.78191711503</v>
      </c>
      <c r="N31" s="5">
        <f>K31+L31+M31</f>
        <v>470268.24191386736</v>
      </c>
      <c r="O31">
        <f>(1-B31-E$22)*J31*(1+E$11)^0.5</f>
        <v>7040746.1527760187</v>
      </c>
      <c r="P31">
        <f>E$20*(1+E$21)^(H31-1)*(E31-0.5*(D31+C31))</f>
        <v>51358.387220599805</v>
      </c>
      <c r="Q31">
        <f>N31+P31</f>
        <v>521626.62913446716</v>
      </c>
      <c r="R31">
        <f>1/(1+E$23)^(H31-0.5)</f>
        <v>0.92942864090336497</v>
      </c>
    </row>
    <row r="32" spans="1:19">
      <c r="A32">
        <v>62</v>
      </c>
      <c r="B32">
        <v>1.6015999999999999E-2</v>
      </c>
      <c r="C32">
        <f t="shared" si="0"/>
        <v>14.035593565977981</v>
      </c>
      <c r="D32">
        <f>E$22*E32</f>
        <v>43.817412481199995</v>
      </c>
      <c r="E32">
        <f t="shared" ref="E32:E35" si="1">E31-C31-D31</f>
        <v>876.34824962399989</v>
      </c>
      <c r="H32">
        <v>3</v>
      </c>
      <c r="I32">
        <f>O31</f>
        <v>7040746.1527760187</v>
      </c>
      <c r="J32">
        <f>I32*(1+E$11)^0.5</f>
        <v>7162899.5603320012</v>
      </c>
      <c r="K32">
        <f>B32*J32</f>
        <v>114720.99935827732</v>
      </c>
      <c r="M32" s="5">
        <f>E$22*J32*0.98</f>
        <v>350982.07845626806</v>
      </c>
      <c r="N32" s="5">
        <f>K32+L32+M32</f>
        <v>465703.07781454537</v>
      </c>
      <c r="O32">
        <f>(1-B32-E$22)*J32*(1+E$11)^0.5</f>
        <v>6806102.3036707593</v>
      </c>
      <c r="P32">
        <f>E$20*(1+E$21)^(H32-1)*(E32-0.5*(D32+C32))</f>
        <v>49446.635203260681</v>
      </c>
      <c r="Q32">
        <f>N32+P32</f>
        <v>515149.71301780606</v>
      </c>
      <c r="R32">
        <f>1/(1+E$23)^(H32-0.5)</f>
        <v>0.88517013419368074</v>
      </c>
    </row>
    <row r="33" spans="1:18">
      <c r="A33">
        <v>63</v>
      </c>
      <c r="B33">
        <v>1.7403999999999999E-2</v>
      </c>
      <c r="C33">
        <f t="shared" si="0"/>
        <v>14.245091219211009</v>
      </c>
      <c r="D33">
        <f>E$22*E33</f>
        <v>40.9247621788411</v>
      </c>
      <c r="E33">
        <f t="shared" si="1"/>
        <v>818.49524357682196</v>
      </c>
      <c r="H33">
        <v>4</v>
      </c>
      <c r="I33">
        <f>O32</f>
        <v>6806102.3036707593</v>
      </c>
      <c r="J33">
        <f>I33*(1+E$11)^0.5</f>
        <v>6924184.7583606225</v>
      </c>
      <c r="K33">
        <f>B33*J33</f>
        <v>120508.51153450827</v>
      </c>
      <c r="M33" s="5">
        <f>E$22*J33*0.98</f>
        <v>339285.05315967056</v>
      </c>
      <c r="N33" s="5">
        <f>K33+L33+M33</f>
        <v>459793.56469417881</v>
      </c>
      <c r="O33">
        <f>(1-B33-E$22)*J33*(1+E$11)^0.5</f>
        <v>6569500.8164339298</v>
      </c>
      <c r="P33">
        <f>E$20*(1+E$21)^(H33-1)*(E33-0.5*(D33+C33))</f>
        <v>47533.698180700791</v>
      </c>
      <c r="Q33">
        <f>N33+P33</f>
        <v>507327.26287487958</v>
      </c>
      <c r="R33">
        <f>1/(1+E$23)^(H33-0.5)</f>
        <v>0.843019175422553</v>
      </c>
    </row>
    <row r="34" spans="1:18">
      <c r="A34">
        <v>64</v>
      </c>
      <c r="B34">
        <v>1.8977000000000001E-2</v>
      </c>
      <c r="C34">
        <f t="shared" si="0"/>
        <v>14.485625929422516</v>
      </c>
      <c r="D34">
        <f>E$22*E34</f>
        <v>38.166269508938498</v>
      </c>
      <c r="E34">
        <f t="shared" si="1"/>
        <v>763.32539017876991</v>
      </c>
      <c r="H34">
        <v>5</v>
      </c>
      <c r="I34">
        <f>O33</f>
        <v>6569500.8164339298</v>
      </c>
      <c r="J34">
        <f>I34*(1+E$11)^0.5</f>
        <v>6683478.354219866</v>
      </c>
      <c r="K34">
        <f>B34*J34</f>
        <v>126832.3687280304</v>
      </c>
      <c r="M34" s="5">
        <f>E$22*J34*0.98</f>
        <v>327490.43935677345</v>
      </c>
      <c r="N34" s="5">
        <f>K34+L34+M34</f>
        <v>454322.80808480387</v>
      </c>
      <c r="O34">
        <f>(1-B34-E$22)*J34*(1+E$11)^0.5</f>
        <v>6330428.8311704239</v>
      </c>
      <c r="P34">
        <f>E$20*(1+E$21)^(H34-1)*(E34-0.5*(D34+C34))</f>
        <v>45622.465099934583</v>
      </c>
      <c r="Q34">
        <f>N34+P34</f>
        <v>499945.27318473847</v>
      </c>
      <c r="R34">
        <f>1/(1+E$23)^(H34-0.5)</f>
        <v>0.80287540516433631</v>
      </c>
    </row>
    <row r="35" spans="1:18">
      <c r="A35">
        <v>65</v>
      </c>
      <c r="E35">
        <f t="shared" si="1"/>
        <v>710.67349474040884</v>
      </c>
      <c r="L35">
        <f>O34</f>
        <v>6330428.8311704239</v>
      </c>
      <c r="Q35">
        <f>L35</f>
        <v>6330428.8311704239</v>
      </c>
      <c r="R35">
        <f>1/(1+E$23)^H34</f>
        <v>0.78352616646845896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A6" sqref="A6"/>
    </sheetView>
  </sheetViews>
  <sheetFormatPr defaultRowHeight="15"/>
  <cols>
    <col min="4" max="4" width="12" bestFit="1" customWidth="1"/>
  </cols>
  <sheetData>
    <row r="1" spans="1:14">
      <c r="A1" s="2" t="s">
        <v>49</v>
      </c>
      <c r="J1" s="2" t="s">
        <v>27</v>
      </c>
    </row>
    <row r="3" spans="1:14">
      <c r="A3" t="s">
        <v>19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</row>
    <row r="4" spans="1:14">
      <c r="A4">
        <v>0</v>
      </c>
      <c r="B4">
        <f>MAX(Mort_0!$S30-BE!$S30,0)</f>
        <v>1501.5393866617233</v>
      </c>
      <c r="C4">
        <f>MAX(Long_0!$S30-BE!$S30,0)</f>
        <v>0</v>
      </c>
      <c r="D4">
        <f>MAX(LapseMass_0!$S30-BE!$S30,LapseUp_0!$S30-BE!$S30,LapseDown_0!$S30-BE!$S30)</f>
        <v>38246.253830447793</v>
      </c>
      <c r="E4">
        <f>MAX(Expense_0!$S30-BE!$S30,0)</f>
        <v>23532.031662272289</v>
      </c>
      <c r="F4">
        <f>MAX(Cat_0!$S30-BE!$S30,0)</f>
        <v>387.29959239251912</v>
      </c>
      <c r="J4">
        <v>1</v>
      </c>
      <c r="K4">
        <v>-0.25</v>
      </c>
      <c r="L4">
        <v>0</v>
      </c>
      <c r="M4">
        <v>0.25</v>
      </c>
      <c r="N4">
        <v>0.25</v>
      </c>
    </row>
    <row r="5" spans="1:14">
      <c r="J5">
        <v>-0.25</v>
      </c>
      <c r="K5">
        <v>1</v>
      </c>
      <c r="L5">
        <v>0.25</v>
      </c>
      <c r="M5">
        <v>0.25</v>
      </c>
      <c r="N5">
        <v>0</v>
      </c>
    </row>
    <row r="6" spans="1:14">
      <c r="J6">
        <v>0</v>
      </c>
      <c r="K6">
        <v>0.25</v>
      </c>
      <c r="L6">
        <v>1</v>
      </c>
      <c r="M6">
        <v>0.5</v>
      </c>
      <c r="N6">
        <v>0.25</v>
      </c>
    </row>
    <row r="7" spans="1:14">
      <c r="J7">
        <v>0.25</v>
      </c>
      <c r="K7">
        <v>0.25</v>
      </c>
      <c r="L7">
        <v>0.5</v>
      </c>
      <c r="M7">
        <v>1</v>
      </c>
      <c r="N7">
        <v>0.25</v>
      </c>
    </row>
    <row r="8" spans="1:14">
      <c r="J8">
        <v>0.25</v>
      </c>
      <c r="K8">
        <v>0</v>
      </c>
      <c r="L8">
        <v>0.25</v>
      </c>
      <c r="M8">
        <v>0.25</v>
      </c>
      <c r="N8">
        <v>1</v>
      </c>
    </row>
    <row r="10" spans="1:14">
      <c r="A10" t="s">
        <v>28</v>
      </c>
      <c r="D10" t="s">
        <v>29</v>
      </c>
    </row>
    <row r="12" spans="1:14">
      <c r="B12">
        <f>SUMPRODUCT(B$4:F$4,J4:N4)</f>
        <v>7481.3722003279254</v>
      </c>
      <c r="D12" s="4">
        <f>SQRT(MMULT(B4:F4,B12:B16))</f>
        <v>54303.502513266634</v>
      </c>
    </row>
    <row r="13" spans="1:14">
      <c r="B13">
        <f t="shared" ref="B13:B16" si="0">SUMPRODUCT(B$4:F$4,J5:N5)</f>
        <v>15069.18652651459</v>
      </c>
    </row>
    <row r="14" spans="1:14">
      <c r="B14">
        <f t="shared" si="0"/>
        <v>50109.094559682067</v>
      </c>
    </row>
    <row r="15" spans="1:14">
      <c r="B15">
        <f t="shared" si="0"/>
        <v>43127.368322259746</v>
      </c>
    </row>
    <row r="16" spans="1:14">
      <c r="B16">
        <f t="shared" si="0"/>
        <v>16207.255812237971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BE</vt:lpstr>
      <vt:lpstr>LapseUp_0</vt:lpstr>
      <vt:lpstr>LapseDown_0</vt:lpstr>
      <vt:lpstr>LapseMass_0</vt:lpstr>
      <vt:lpstr>Mort_0</vt:lpstr>
      <vt:lpstr>Long_0</vt:lpstr>
      <vt:lpstr>Cat_0</vt:lpstr>
      <vt:lpstr>Expense_0</vt:lpstr>
      <vt:lpstr>SCR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Mazurova</dc:creator>
  <cp:lastModifiedBy>mazurova</cp:lastModifiedBy>
  <dcterms:created xsi:type="dcterms:W3CDTF">2016-05-11T17:11:34Z</dcterms:created>
  <dcterms:modified xsi:type="dcterms:W3CDTF">2018-06-04T11:09:07Z</dcterms:modified>
</cp:coreProperties>
</file>